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E:\"/>
    </mc:Choice>
  </mc:AlternateContent>
  <xr:revisionPtr revIDLastSave="0" documentId="13_ncr:1_{242ADC0E-540A-4D6D-89E9-7B22FA687C4A}" xr6:coauthVersionLast="47" xr6:coauthVersionMax="47" xr10:uidLastSave="{00000000-0000-0000-0000-000000000000}"/>
  <bookViews>
    <workbookView xWindow="-120" yWindow="-120" windowWidth="20730" windowHeight="11160" xr2:uid="{00000000-000D-0000-FFFF-FFFF00000000}"/>
  </bookViews>
  <sheets>
    <sheet name="Obras Pública 2015-2018" sheetId="1" r:id="rId1"/>
  </sheets>
  <externalReferences>
    <externalReference r:id="rId2"/>
  </externalReferences>
  <definedNames>
    <definedName name="_xlnm._FilterDatabase" localSheetId="0" hidden="1">'Obras Pública 2015-2018'!$A$5:$AD$898</definedName>
    <definedName name="_xlnm.Print_Area" localSheetId="0">'Obras Pública 2015-2018'!$B$1:$AD$800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13" i="1" l="1"/>
  <c r="H262" i="1"/>
  <c r="H218" i="1"/>
  <c r="H190" i="1"/>
  <c r="H132" i="1"/>
  <c r="H126" i="1"/>
  <c r="H121" i="1"/>
  <c r="H114" i="1"/>
  <c r="H79" i="1"/>
  <c r="D528" i="1" l="1"/>
  <c r="F364" i="1"/>
  <c r="F365" i="1"/>
  <c r="D364" i="1"/>
  <c r="F321" i="1"/>
  <c r="I435" i="1"/>
  <c r="F505" i="1"/>
  <c r="F404" i="1"/>
  <c r="F184" i="1"/>
  <c r="J160" i="1"/>
  <c r="K784" i="1"/>
  <c r="O227" i="1"/>
  <c r="R227" i="1" s="1"/>
  <c r="O171" i="1"/>
  <c r="O39" i="1"/>
  <c r="R39" i="1" s="1"/>
  <c r="D9" i="1"/>
  <c r="E9" i="1"/>
  <c r="F9" i="1"/>
  <c r="D10" i="1"/>
  <c r="E10" i="1"/>
  <c r="F10" i="1"/>
  <c r="D11" i="1"/>
  <c r="E11" i="1"/>
  <c r="F11" i="1"/>
  <c r="D12" i="1"/>
  <c r="E12" i="1"/>
  <c r="F12" i="1"/>
  <c r="D13" i="1"/>
  <c r="E13" i="1"/>
  <c r="F13" i="1"/>
  <c r="D14" i="1"/>
  <c r="E14" i="1"/>
  <c r="F14" i="1"/>
  <c r="D15" i="1"/>
  <c r="E15" i="1"/>
  <c r="F15" i="1"/>
  <c r="D16" i="1"/>
  <c r="E16" i="1"/>
  <c r="F16" i="1"/>
  <c r="D17" i="1"/>
  <c r="E17" i="1"/>
  <c r="F17" i="1"/>
  <c r="D18" i="1"/>
  <c r="E18" i="1"/>
  <c r="F18" i="1"/>
  <c r="D19" i="1"/>
  <c r="E19" i="1"/>
  <c r="F19" i="1"/>
  <c r="D20" i="1"/>
  <c r="E20" i="1"/>
  <c r="F20" i="1"/>
  <c r="D21" i="1"/>
  <c r="E21" i="1"/>
  <c r="F21" i="1"/>
  <c r="D22" i="1"/>
  <c r="E22" i="1"/>
  <c r="F22" i="1"/>
  <c r="D23" i="1"/>
  <c r="E23" i="1"/>
  <c r="F23" i="1"/>
  <c r="D24" i="1"/>
  <c r="E24" i="1"/>
  <c r="F24" i="1"/>
  <c r="D25" i="1"/>
  <c r="E25" i="1"/>
  <c r="F25" i="1"/>
  <c r="D26" i="1"/>
  <c r="E26" i="1"/>
  <c r="F26" i="1"/>
  <c r="D27" i="1"/>
  <c r="E27" i="1"/>
  <c r="F27" i="1"/>
  <c r="D28" i="1"/>
  <c r="E28" i="1"/>
  <c r="F28" i="1"/>
  <c r="D29" i="1"/>
  <c r="E29" i="1"/>
  <c r="F29" i="1"/>
  <c r="D30" i="1"/>
  <c r="E30" i="1"/>
  <c r="F30" i="1"/>
  <c r="D45" i="1"/>
  <c r="E45" i="1"/>
  <c r="F45" i="1"/>
  <c r="D46" i="1"/>
  <c r="E46" i="1"/>
  <c r="F46" i="1"/>
  <c r="D47" i="1"/>
  <c r="E47" i="1"/>
  <c r="F47" i="1"/>
  <c r="D48" i="1"/>
  <c r="E48" i="1"/>
  <c r="F48" i="1"/>
  <c r="D49" i="1"/>
  <c r="E49" i="1"/>
  <c r="F49" i="1"/>
  <c r="D50" i="1"/>
  <c r="E50" i="1"/>
  <c r="F50" i="1"/>
  <c r="D51" i="1"/>
  <c r="E51" i="1"/>
  <c r="F51" i="1"/>
  <c r="D52" i="1"/>
  <c r="E52" i="1"/>
  <c r="F52" i="1"/>
  <c r="D53" i="1"/>
  <c r="E53" i="1"/>
  <c r="F53" i="1"/>
  <c r="D54" i="1"/>
  <c r="E54" i="1"/>
  <c r="F54" i="1"/>
  <c r="D55" i="1"/>
  <c r="E55" i="1"/>
  <c r="F55" i="1"/>
  <c r="D56" i="1"/>
  <c r="E56" i="1"/>
  <c r="F56" i="1"/>
  <c r="F57" i="1"/>
  <c r="F58" i="1"/>
  <c r="F59" i="1"/>
  <c r="F60" i="1"/>
  <c r="F61" i="1"/>
  <c r="F62" i="1"/>
  <c r="D63" i="1"/>
  <c r="E63" i="1"/>
  <c r="F63" i="1"/>
  <c r="D64" i="1"/>
  <c r="E64" i="1"/>
  <c r="F64" i="1"/>
  <c r="D65" i="1"/>
  <c r="E65" i="1"/>
  <c r="F65" i="1"/>
  <c r="D66" i="1"/>
  <c r="E66" i="1"/>
  <c r="F66" i="1"/>
  <c r="D67" i="1"/>
  <c r="E67" i="1"/>
  <c r="F67" i="1"/>
  <c r="D68" i="1"/>
  <c r="E68" i="1"/>
  <c r="F68" i="1"/>
  <c r="D69" i="1"/>
  <c r="E69" i="1"/>
  <c r="F69" i="1"/>
  <c r="D70" i="1"/>
  <c r="E70" i="1"/>
  <c r="F70" i="1"/>
  <c r="D71" i="1"/>
  <c r="E71" i="1"/>
  <c r="F71" i="1"/>
  <c r="D72" i="1"/>
  <c r="E72" i="1"/>
  <c r="F72" i="1"/>
  <c r="D73" i="1"/>
  <c r="E73" i="1"/>
  <c r="F73" i="1"/>
  <c r="D74" i="1"/>
  <c r="E74" i="1"/>
  <c r="F74" i="1"/>
  <c r="D75" i="1"/>
  <c r="E75" i="1"/>
  <c r="F75" i="1"/>
  <c r="D76" i="1"/>
  <c r="E76" i="1"/>
  <c r="F76" i="1"/>
  <c r="D77" i="1"/>
  <c r="E77" i="1"/>
  <c r="F77" i="1"/>
  <c r="D78" i="1"/>
  <c r="E78" i="1"/>
  <c r="F78" i="1"/>
  <c r="D79" i="1"/>
  <c r="E79" i="1"/>
  <c r="F79" i="1"/>
  <c r="D80" i="1"/>
  <c r="E80" i="1"/>
  <c r="F80" i="1"/>
  <c r="D81" i="1"/>
  <c r="E81" i="1"/>
  <c r="F81" i="1"/>
  <c r="D82" i="1"/>
  <c r="E82" i="1"/>
  <c r="F82" i="1"/>
  <c r="D83" i="1"/>
  <c r="E83" i="1"/>
  <c r="F83" i="1"/>
  <c r="D84" i="1"/>
  <c r="E84" i="1"/>
  <c r="F84" i="1"/>
  <c r="D85" i="1"/>
  <c r="E85" i="1"/>
  <c r="F85" i="1"/>
  <c r="D86" i="1"/>
  <c r="E86" i="1"/>
  <c r="F86" i="1"/>
  <c r="D87" i="1"/>
  <c r="E87" i="1"/>
  <c r="F87" i="1"/>
  <c r="D88" i="1"/>
  <c r="E88" i="1"/>
  <c r="F88" i="1"/>
  <c r="D89" i="1"/>
  <c r="E89" i="1"/>
  <c r="F89" i="1"/>
  <c r="D90" i="1"/>
  <c r="E90" i="1"/>
  <c r="F90" i="1"/>
  <c r="D91" i="1"/>
  <c r="E91" i="1"/>
  <c r="F91" i="1"/>
  <c r="D92" i="1"/>
  <c r="E92" i="1"/>
  <c r="F92" i="1"/>
  <c r="D93" i="1"/>
  <c r="E93" i="1"/>
  <c r="F93" i="1"/>
  <c r="D94" i="1"/>
  <c r="E94" i="1"/>
  <c r="F94" i="1"/>
  <c r="D95" i="1"/>
  <c r="E95" i="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C153" i="1"/>
  <c r="D153" i="1"/>
  <c r="E153" i="1"/>
  <c r="F153" i="1"/>
  <c r="C154" i="1"/>
  <c r="D154" i="1"/>
  <c r="E154" i="1"/>
  <c r="F154" i="1"/>
  <c r="C155" i="1"/>
  <c r="D155" i="1"/>
  <c r="E155" i="1"/>
  <c r="F155" i="1"/>
  <c r="C156" i="1"/>
  <c r="D156" i="1"/>
  <c r="E156" i="1"/>
  <c r="F156" i="1"/>
  <c r="C157" i="1"/>
  <c r="D157" i="1"/>
  <c r="E157" i="1"/>
  <c r="F157" i="1"/>
  <c r="C158" i="1"/>
  <c r="D158" i="1"/>
  <c r="E158" i="1"/>
  <c r="F158" i="1"/>
  <c r="C159" i="1"/>
  <c r="D159" i="1"/>
  <c r="E159" i="1"/>
  <c r="F159" i="1"/>
  <c r="C160" i="1"/>
  <c r="D160" i="1"/>
  <c r="E160" i="1"/>
  <c r="F160" i="1"/>
  <c r="C161" i="1"/>
  <c r="D161" i="1"/>
  <c r="E161" i="1"/>
  <c r="F161" i="1"/>
  <c r="C162" i="1"/>
  <c r="D162" i="1"/>
  <c r="E162" i="1"/>
  <c r="F162" i="1"/>
  <c r="C163" i="1"/>
  <c r="D163" i="1"/>
  <c r="E163" i="1"/>
  <c r="F163" i="1"/>
  <c r="C164" i="1"/>
  <c r="D164" i="1"/>
  <c r="E164" i="1"/>
  <c r="F164" i="1"/>
  <c r="C165" i="1"/>
  <c r="D165" i="1"/>
  <c r="E165" i="1"/>
  <c r="F165" i="1"/>
  <c r="C166" i="1"/>
  <c r="D166" i="1"/>
  <c r="E166" i="1"/>
  <c r="F166" i="1"/>
  <c r="C167" i="1"/>
  <c r="D167" i="1"/>
  <c r="E167" i="1"/>
  <c r="F167" i="1"/>
  <c r="C168" i="1"/>
  <c r="D168" i="1"/>
  <c r="E168" i="1"/>
  <c r="F168" i="1"/>
  <c r="C169" i="1"/>
  <c r="D169" i="1"/>
  <c r="E169" i="1"/>
  <c r="F169" i="1"/>
  <c r="C170" i="1"/>
  <c r="D170" i="1"/>
  <c r="E170" i="1"/>
  <c r="F170" i="1"/>
  <c r="D171" i="1"/>
  <c r="E171" i="1"/>
  <c r="F171" i="1"/>
  <c r="D172" i="1"/>
  <c r="E172" i="1"/>
  <c r="F172" i="1"/>
  <c r="D173" i="1"/>
  <c r="E173" i="1"/>
  <c r="F173" i="1"/>
  <c r="D174" i="1"/>
  <c r="E174" i="1"/>
  <c r="F174" i="1"/>
  <c r="D175" i="1"/>
  <c r="E175" i="1"/>
  <c r="F175" i="1"/>
  <c r="D176" i="1"/>
  <c r="E176" i="1"/>
  <c r="F176" i="1"/>
  <c r="D177" i="1"/>
  <c r="E177" i="1"/>
  <c r="F177" i="1"/>
  <c r="D178" i="1"/>
  <c r="E178" i="1"/>
  <c r="F178" i="1"/>
  <c r="D179" i="1"/>
  <c r="E179" i="1"/>
  <c r="F179" i="1"/>
  <c r="D180" i="1"/>
  <c r="E180" i="1"/>
  <c r="F180" i="1"/>
  <c r="D181" i="1"/>
  <c r="E181" i="1"/>
  <c r="F181" i="1"/>
  <c r="D182" i="1"/>
  <c r="E182" i="1"/>
  <c r="F182" i="1"/>
  <c r="D183" i="1"/>
  <c r="E183" i="1"/>
  <c r="F183" i="1"/>
  <c r="D184" i="1"/>
  <c r="E184" i="1"/>
  <c r="C185" i="1"/>
  <c r="D185" i="1"/>
  <c r="E185" i="1"/>
  <c r="F185" i="1"/>
  <c r="C186" i="1"/>
  <c r="D186" i="1"/>
  <c r="E186" i="1"/>
  <c r="F186" i="1"/>
  <c r="C187" i="1"/>
  <c r="D187" i="1"/>
  <c r="E187" i="1"/>
  <c r="F187" i="1"/>
  <c r="C188" i="1"/>
  <c r="D188" i="1"/>
  <c r="E188" i="1"/>
  <c r="F188" i="1"/>
  <c r="C189" i="1"/>
  <c r="D189" i="1"/>
  <c r="E189" i="1"/>
  <c r="F189" i="1"/>
  <c r="C190" i="1"/>
  <c r="D190" i="1"/>
  <c r="E190" i="1"/>
  <c r="F190" i="1"/>
  <c r="C191" i="1"/>
  <c r="D191" i="1"/>
  <c r="E191" i="1"/>
  <c r="F191" i="1"/>
  <c r="C192" i="1"/>
  <c r="D192" i="1"/>
  <c r="E192" i="1"/>
  <c r="F192" i="1"/>
  <c r="D193" i="1"/>
  <c r="E193" i="1"/>
  <c r="F193" i="1"/>
  <c r="D194" i="1"/>
  <c r="E194" i="1"/>
  <c r="F194" i="1"/>
  <c r="D195" i="1"/>
  <c r="E195" i="1"/>
  <c r="F195" i="1"/>
  <c r="D196" i="1"/>
  <c r="E196" i="1"/>
  <c r="F196" i="1"/>
  <c r="D197" i="1"/>
  <c r="E197" i="1"/>
  <c r="F197" i="1"/>
  <c r="D198" i="1"/>
  <c r="E198" i="1"/>
  <c r="F198" i="1"/>
  <c r="D199" i="1"/>
  <c r="E199" i="1"/>
  <c r="F199" i="1"/>
  <c r="D200" i="1"/>
  <c r="E200" i="1"/>
  <c r="F200" i="1"/>
  <c r="D201" i="1"/>
  <c r="E201" i="1"/>
  <c r="F201" i="1"/>
  <c r="D202" i="1"/>
  <c r="E202" i="1"/>
  <c r="F202" i="1"/>
  <c r="D203" i="1"/>
  <c r="E203" i="1"/>
  <c r="F203" i="1"/>
  <c r="D204" i="1"/>
  <c r="E204" i="1"/>
  <c r="F204" i="1"/>
  <c r="D205" i="1"/>
  <c r="E205" i="1"/>
  <c r="F205" i="1"/>
  <c r="D206" i="1"/>
  <c r="E206" i="1"/>
  <c r="F206" i="1"/>
  <c r="D207" i="1"/>
  <c r="E207" i="1"/>
  <c r="F207" i="1"/>
  <c r="D208" i="1"/>
  <c r="E208" i="1"/>
  <c r="F208" i="1"/>
  <c r="D209" i="1"/>
  <c r="E209" i="1"/>
  <c r="F209" i="1"/>
  <c r="D210" i="1"/>
  <c r="E210" i="1"/>
  <c r="F210" i="1"/>
  <c r="D211" i="1"/>
  <c r="E211" i="1"/>
  <c r="F211" i="1"/>
  <c r="D212" i="1"/>
  <c r="E212" i="1"/>
  <c r="F212" i="1"/>
  <c r="D213" i="1"/>
  <c r="E213" i="1"/>
  <c r="F213" i="1"/>
  <c r="D214" i="1"/>
  <c r="E214" i="1"/>
  <c r="F214" i="1"/>
  <c r="D215" i="1"/>
  <c r="E215" i="1"/>
  <c r="F215" i="1"/>
  <c r="D216" i="1"/>
  <c r="E216" i="1"/>
  <c r="F216" i="1"/>
  <c r="D217" i="1"/>
  <c r="E217" i="1"/>
  <c r="F217" i="1"/>
  <c r="D218" i="1"/>
  <c r="E218" i="1"/>
  <c r="F218" i="1"/>
  <c r="D219" i="1"/>
  <c r="E219" i="1"/>
  <c r="F219" i="1"/>
  <c r="D220" i="1"/>
  <c r="E220" i="1"/>
  <c r="F220" i="1"/>
  <c r="D221" i="1"/>
  <c r="E221" i="1"/>
  <c r="F221" i="1"/>
  <c r="D222" i="1"/>
  <c r="E222" i="1"/>
  <c r="F222" i="1"/>
  <c r="D223" i="1"/>
  <c r="E223" i="1"/>
  <c r="F223" i="1"/>
  <c r="D224" i="1"/>
  <c r="E224" i="1"/>
  <c r="F224" i="1"/>
  <c r="D225" i="1"/>
  <c r="E225" i="1"/>
  <c r="F225" i="1"/>
  <c r="D226" i="1"/>
  <c r="E226" i="1"/>
  <c r="F226" i="1"/>
  <c r="D227" i="1"/>
  <c r="E227" i="1"/>
  <c r="F227" i="1"/>
  <c r="D228" i="1"/>
  <c r="E228" i="1"/>
  <c r="F228" i="1"/>
  <c r="D229" i="1"/>
  <c r="E229" i="1"/>
  <c r="F229" i="1"/>
  <c r="D230" i="1"/>
  <c r="E230" i="1"/>
  <c r="F230" i="1"/>
  <c r="D231" i="1"/>
  <c r="E231" i="1"/>
  <c r="F231" i="1"/>
  <c r="D232" i="1"/>
  <c r="E232" i="1"/>
  <c r="F232" i="1"/>
  <c r="D233" i="1"/>
  <c r="E233" i="1"/>
  <c r="F233" i="1"/>
  <c r="D234" i="1"/>
  <c r="E234" i="1"/>
  <c r="F234" i="1"/>
  <c r="D235" i="1"/>
  <c r="E235" i="1"/>
  <c r="F235" i="1"/>
  <c r="D236" i="1"/>
  <c r="E236" i="1"/>
  <c r="F236" i="1"/>
  <c r="D237" i="1"/>
  <c r="E237" i="1"/>
  <c r="F237" i="1"/>
  <c r="C238" i="1"/>
  <c r="D238" i="1"/>
  <c r="E238" i="1"/>
  <c r="F238" i="1"/>
  <c r="C239" i="1"/>
  <c r="D239" i="1"/>
  <c r="E239" i="1"/>
  <c r="F239" i="1"/>
  <c r="C240" i="1"/>
  <c r="D240" i="1"/>
  <c r="E240" i="1"/>
  <c r="F240" i="1"/>
  <c r="C241" i="1"/>
  <c r="D241" i="1"/>
  <c r="E241" i="1"/>
  <c r="F241" i="1"/>
  <c r="C242" i="1"/>
  <c r="D242" i="1"/>
  <c r="E242" i="1"/>
  <c r="F242" i="1"/>
  <c r="C243" i="1"/>
  <c r="D243" i="1"/>
  <c r="E243" i="1"/>
  <c r="F243" i="1"/>
  <c r="D244" i="1"/>
  <c r="E244" i="1"/>
  <c r="F244" i="1"/>
  <c r="D245" i="1"/>
  <c r="E245" i="1"/>
  <c r="F245" i="1"/>
  <c r="D246" i="1"/>
  <c r="E246" i="1"/>
  <c r="F246" i="1"/>
  <c r="D247" i="1"/>
  <c r="E247" i="1"/>
  <c r="F247" i="1"/>
  <c r="C248" i="1"/>
  <c r="D248" i="1"/>
  <c r="E248" i="1"/>
  <c r="F248" i="1"/>
  <c r="D249" i="1"/>
  <c r="E249" i="1"/>
  <c r="F249" i="1"/>
  <c r="D250" i="1"/>
  <c r="E250" i="1"/>
  <c r="F250" i="1"/>
  <c r="D251" i="1"/>
  <c r="E251" i="1"/>
  <c r="F251" i="1"/>
  <c r="D252" i="1"/>
  <c r="E252" i="1"/>
  <c r="F252" i="1"/>
  <c r="D253" i="1"/>
  <c r="E253" i="1"/>
  <c r="F253" i="1"/>
  <c r="D254" i="1"/>
  <c r="E254" i="1"/>
  <c r="F254" i="1"/>
  <c r="D255" i="1"/>
  <c r="E255" i="1"/>
  <c r="F255" i="1"/>
  <c r="D256" i="1"/>
  <c r="E256" i="1"/>
  <c r="F256" i="1"/>
  <c r="D257" i="1"/>
  <c r="E257" i="1"/>
  <c r="F257" i="1"/>
  <c r="D258" i="1"/>
  <c r="E258" i="1"/>
  <c r="F258" i="1"/>
  <c r="D259" i="1"/>
  <c r="E259" i="1"/>
  <c r="F259" i="1"/>
  <c r="D260" i="1"/>
  <c r="E260" i="1"/>
  <c r="F260" i="1"/>
  <c r="D261" i="1"/>
  <c r="E261" i="1"/>
  <c r="F261" i="1"/>
  <c r="D262" i="1"/>
  <c r="E262" i="1"/>
  <c r="F262" i="1"/>
  <c r="D263" i="1"/>
  <c r="E263" i="1"/>
  <c r="F263" i="1"/>
  <c r="D264" i="1"/>
  <c r="E264" i="1"/>
  <c r="F264" i="1"/>
  <c r="D265" i="1"/>
  <c r="E265" i="1"/>
  <c r="F265" i="1"/>
  <c r="D266" i="1"/>
  <c r="E266" i="1"/>
  <c r="F266" i="1"/>
  <c r="D267" i="1"/>
  <c r="E267" i="1"/>
  <c r="F267" i="1"/>
  <c r="D268" i="1"/>
  <c r="E268" i="1"/>
  <c r="F268" i="1"/>
  <c r="D269" i="1"/>
  <c r="E269" i="1"/>
  <c r="F269" i="1"/>
  <c r="D270" i="1"/>
  <c r="E270" i="1"/>
  <c r="F270" i="1"/>
  <c r="D271" i="1"/>
  <c r="E271" i="1"/>
  <c r="F271" i="1"/>
  <c r="D272" i="1"/>
  <c r="E272" i="1"/>
  <c r="F272" i="1"/>
  <c r="D273" i="1"/>
  <c r="E273" i="1"/>
  <c r="F273" i="1"/>
  <c r="D274" i="1"/>
  <c r="E274" i="1"/>
  <c r="F274" i="1"/>
  <c r="D275" i="1"/>
  <c r="E275" i="1"/>
  <c r="F275" i="1"/>
  <c r="D276" i="1"/>
  <c r="E276" i="1"/>
  <c r="F276" i="1"/>
  <c r="D277" i="1"/>
  <c r="E277" i="1"/>
  <c r="F277" i="1"/>
  <c r="D278" i="1"/>
  <c r="E278" i="1"/>
  <c r="F278" i="1"/>
  <c r="D279" i="1"/>
  <c r="E279" i="1"/>
  <c r="F279" i="1"/>
  <c r="D280" i="1"/>
  <c r="E280" i="1"/>
  <c r="F280" i="1"/>
  <c r="D281" i="1"/>
  <c r="E281" i="1"/>
  <c r="F281" i="1"/>
  <c r="D282" i="1"/>
  <c r="E282" i="1"/>
  <c r="F282" i="1"/>
  <c r="D283" i="1"/>
  <c r="E283" i="1"/>
  <c r="F283" i="1"/>
  <c r="D284" i="1"/>
  <c r="E284" i="1"/>
  <c r="F284" i="1"/>
  <c r="D285" i="1"/>
  <c r="E285" i="1"/>
  <c r="F285" i="1"/>
  <c r="D286" i="1"/>
  <c r="E286" i="1"/>
  <c r="F286" i="1"/>
  <c r="D287" i="1"/>
  <c r="E287" i="1"/>
  <c r="F287" i="1"/>
  <c r="D288" i="1"/>
  <c r="E288" i="1"/>
  <c r="F288" i="1"/>
  <c r="D289" i="1"/>
  <c r="E289" i="1"/>
  <c r="F289" i="1"/>
  <c r="D290" i="1"/>
  <c r="E290" i="1"/>
  <c r="F290" i="1"/>
  <c r="D291" i="1"/>
  <c r="E291" i="1"/>
  <c r="F291" i="1"/>
  <c r="D292" i="1"/>
  <c r="E292" i="1"/>
  <c r="F292" i="1"/>
  <c r="D293" i="1"/>
  <c r="E293" i="1"/>
  <c r="F293" i="1"/>
  <c r="D294" i="1"/>
  <c r="E294" i="1"/>
  <c r="F294" i="1"/>
  <c r="D295" i="1"/>
  <c r="E295" i="1"/>
  <c r="F295" i="1"/>
  <c r="D296" i="1"/>
  <c r="E296" i="1"/>
  <c r="F296" i="1"/>
  <c r="D297" i="1"/>
  <c r="E297" i="1"/>
  <c r="F297" i="1"/>
  <c r="D298" i="1"/>
  <c r="E298" i="1"/>
  <c r="F298" i="1"/>
  <c r="D299" i="1"/>
  <c r="E299" i="1"/>
  <c r="F299" i="1"/>
  <c r="D300" i="1"/>
  <c r="E300" i="1"/>
  <c r="F300" i="1"/>
  <c r="D301" i="1"/>
  <c r="E301" i="1"/>
  <c r="F301" i="1"/>
  <c r="D302" i="1"/>
  <c r="E302" i="1"/>
  <c r="F302" i="1"/>
  <c r="D303" i="1"/>
  <c r="E303" i="1"/>
  <c r="F303" i="1"/>
  <c r="D304" i="1"/>
  <c r="E304" i="1"/>
  <c r="F304" i="1"/>
  <c r="D305" i="1"/>
  <c r="E305" i="1"/>
  <c r="F305" i="1"/>
  <c r="D306" i="1"/>
  <c r="E306" i="1"/>
  <c r="F306" i="1"/>
  <c r="D307" i="1"/>
  <c r="E307" i="1"/>
  <c r="F307" i="1"/>
  <c r="D308" i="1"/>
  <c r="E308" i="1"/>
  <c r="F308" i="1"/>
  <c r="D309" i="1"/>
  <c r="E309" i="1"/>
  <c r="F309" i="1"/>
  <c r="D310" i="1"/>
  <c r="E310" i="1"/>
  <c r="F310" i="1"/>
  <c r="D311" i="1"/>
  <c r="E311" i="1"/>
  <c r="F311" i="1"/>
  <c r="D312" i="1"/>
  <c r="E312" i="1"/>
  <c r="F312" i="1"/>
  <c r="D313" i="1"/>
  <c r="E313" i="1"/>
  <c r="D314" i="1"/>
  <c r="E314" i="1"/>
  <c r="F314" i="1"/>
  <c r="D315" i="1"/>
  <c r="E315" i="1"/>
  <c r="F315" i="1"/>
  <c r="D316" i="1"/>
  <c r="E316" i="1"/>
  <c r="F316" i="1"/>
  <c r="D317" i="1"/>
  <c r="E317" i="1"/>
  <c r="F317" i="1"/>
  <c r="D318" i="1"/>
  <c r="E318" i="1"/>
  <c r="F318" i="1"/>
  <c r="D319" i="1"/>
  <c r="E319" i="1"/>
  <c r="F319" i="1"/>
  <c r="D320" i="1"/>
  <c r="E320" i="1"/>
  <c r="F320" i="1"/>
  <c r="D321" i="1"/>
  <c r="E321" i="1"/>
  <c r="D322" i="1"/>
  <c r="E322" i="1"/>
  <c r="F322" i="1"/>
  <c r="D323" i="1"/>
  <c r="E323" i="1"/>
  <c r="F323" i="1"/>
  <c r="D324" i="1"/>
  <c r="E324" i="1"/>
  <c r="F324" i="1"/>
  <c r="D325" i="1"/>
  <c r="E325" i="1"/>
  <c r="F325" i="1"/>
  <c r="D326" i="1"/>
  <c r="E326" i="1"/>
  <c r="F326" i="1"/>
  <c r="D327" i="1"/>
  <c r="E327" i="1"/>
  <c r="F327" i="1"/>
  <c r="D328" i="1"/>
  <c r="E328" i="1"/>
  <c r="F328" i="1"/>
  <c r="D329" i="1"/>
  <c r="E329" i="1"/>
  <c r="F329" i="1"/>
  <c r="D330" i="1"/>
  <c r="E330" i="1"/>
  <c r="F330" i="1"/>
  <c r="D331" i="1"/>
  <c r="E331" i="1"/>
  <c r="F331" i="1"/>
  <c r="D332" i="1"/>
  <c r="E332" i="1"/>
  <c r="F332" i="1"/>
  <c r="D333" i="1"/>
  <c r="E333" i="1"/>
  <c r="F333" i="1"/>
  <c r="D334" i="1"/>
  <c r="E334" i="1"/>
  <c r="F334" i="1"/>
  <c r="D335" i="1"/>
  <c r="E335" i="1"/>
  <c r="F335" i="1"/>
  <c r="D336" i="1"/>
  <c r="E336" i="1"/>
  <c r="F336" i="1"/>
  <c r="D337" i="1"/>
  <c r="E337" i="1"/>
  <c r="F337" i="1"/>
  <c r="E338" i="1"/>
  <c r="F338" i="1"/>
  <c r="E339" i="1"/>
  <c r="F339" i="1"/>
  <c r="D340" i="1"/>
  <c r="E340" i="1"/>
  <c r="F340" i="1"/>
  <c r="D341" i="1"/>
  <c r="E341" i="1"/>
  <c r="F341" i="1"/>
  <c r="D342" i="1"/>
  <c r="E342" i="1"/>
  <c r="F342" i="1"/>
  <c r="D343" i="1"/>
  <c r="E343" i="1"/>
  <c r="F343" i="1"/>
  <c r="D344" i="1"/>
  <c r="E344" i="1"/>
  <c r="F344" i="1"/>
  <c r="D345" i="1"/>
  <c r="E345" i="1"/>
  <c r="F345" i="1"/>
  <c r="D346" i="1"/>
  <c r="E346" i="1"/>
  <c r="F346" i="1"/>
  <c r="D347" i="1"/>
  <c r="E347" i="1"/>
  <c r="F347" i="1"/>
  <c r="D348" i="1"/>
  <c r="E348" i="1"/>
  <c r="F348" i="1"/>
  <c r="D349" i="1"/>
  <c r="E349" i="1"/>
  <c r="F349" i="1"/>
  <c r="D350" i="1"/>
  <c r="E350" i="1"/>
  <c r="F350" i="1"/>
  <c r="D351" i="1"/>
  <c r="E351" i="1"/>
  <c r="F351" i="1"/>
  <c r="D352" i="1"/>
  <c r="E352" i="1"/>
  <c r="F352" i="1"/>
  <c r="D353" i="1"/>
  <c r="E353" i="1"/>
  <c r="F353" i="1"/>
  <c r="D354" i="1"/>
  <c r="E354" i="1"/>
  <c r="F354" i="1"/>
  <c r="D355" i="1"/>
  <c r="E355" i="1"/>
  <c r="F355" i="1"/>
  <c r="D356" i="1"/>
  <c r="E356" i="1"/>
  <c r="F356" i="1"/>
  <c r="D357" i="1"/>
  <c r="E357" i="1"/>
  <c r="F357" i="1"/>
  <c r="D358" i="1"/>
  <c r="E358" i="1"/>
  <c r="F358" i="1"/>
  <c r="D359" i="1"/>
  <c r="E359" i="1"/>
  <c r="F359" i="1"/>
  <c r="D360" i="1"/>
  <c r="E360" i="1"/>
  <c r="F360" i="1"/>
  <c r="D361" i="1"/>
  <c r="E361" i="1"/>
  <c r="F361" i="1"/>
  <c r="D362" i="1"/>
  <c r="E362" i="1"/>
  <c r="F362" i="1"/>
  <c r="D363" i="1"/>
  <c r="E363" i="1"/>
  <c r="F363" i="1"/>
  <c r="E364" i="1"/>
  <c r="D365" i="1"/>
  <c r="E365" i="1"/>
  <c r="D366" i="1"/>
  <c r="E366" i="1"/>
  <c r="F366" i="1"/>
  <c r="D367" i="1"/>
  <c r="E367" i="1"/>
  <c r="F367" i="1"/>
  <c r="D368" i="1"/>
  <c r="E368" i="1"/>
  <c r="F368" i="1"/>
  <c r="D369" i="1"/>
  <c r="E369" i="1"/>
  <c r="F369" i="1"/>
  <c r="D370" i="1"/>
  <c r="E370" i="1"/>
  <c r="F370" i="1"/>
  <c r="D371" i="1"/>
  <c r="E371" i="1"/>
  <c r="F371" i="1"/>
  <c r="D372" i="1"/>
  <c r="E372" i="1"/>
  <c r="F372" i="1"/>
  <c r="D373" i="1"/>
  <c r="E373" i="1"/>
  <c r="F373" i="1"/>
  <c r="D374" i="1"/>
  <c r="E374" i="1"/>
  <c r="F374" i="1"/>
  <c r="D375" i="1"/>
  <c r="E375" i="1"/>
  <c r="F375" i="1"/>
  <c r="D376" i="1"/>
  <c r="E376" i="1"/>
  <c r="F376" i="1"/>
  <c r="D377" i="1"/>
  <c r="E377" i="1"/>
  <c r="F377" i="1"/>
  <c r="D378" i="1"/>
  <c r="E378" i="1"/>
  <c r="F378" i="1"/>
  <c r="D379" i="1"/>
  <c r="E379" i="1"/>
  <c r="F379" i="1"/>
  <c r="D380" i="1"/>
  <c r="E380" i="1"/>
  <c r="F380" i="1"/>
  <c r="D381" i="1"/>
  <c r="E381" i="1"/>
  <c r="F381" i="1"/>
  <c r="D382" i="1"/>
  <c r="E382" i="1"/>
  <c r="F382" i="1"/>
  <c r="D383" i="1"/>
  <c r="E383" i="1"/>
  <c r="F383" i="1"/>
  <c r="D384" i="1"/>
  <c r="E384" i="1"/>
  <c r="F384" i="1"/>
  <c r="D385" i="1"/>
  <c r="E385" i="1"/>
  <c r="F385" i="1"/>
  <c r="D386" i="1"/>
  <c r="E386" i="1"/>
  <c r="F386" i="1"/>
  <c r="D387" i="1"/>
  <c r="E387" i="1"/>
  <c r="F387" i="1"/>
  <c r="D388" i="1"/>
  <c r="E388" i="1"/>
  <c r="F388" i="1"/>
  <c r="D389" i="1"/>
  <c r="E389" i="1"/>
  <c r="F389" i="1"/>
  <c r="D390" i="1"/>
  <c r="E390" i="1"/>
  <c r="F390" i="1"/>
  <c r="D391" i="1"/>
  <c r="E391" i="1"/>
  <c r="F391" i="1"/>
  <c r="D392" i="1"/>
  <c r="E392" i="1"/>
  <c r="D393" i="1"/>
  <c r="E393" i="1"/>
  <c r="D394" i="1"/>
  <c r="E394" i="1"/>
  <c r="F394" i="1"/>
  <c r="D395" i="1"/>
  <c r="E395" i="1"/>
  <c r="F395" i="1"/>
  <c r="D396" i="1"/>
  <c r="E396" i="1"/>
  <c r="F396" i="1"/>
  <c r="D397" i="1"/>
  <c r="E397" i="1"/>
  <c r="D398" i="1"/>
  <c r="E398" i="1"/>
  <c r="D399" i="1"/>
  <c r="E399" i="1"/>
  <c r="F399" i="1"/>
  <c r="D400" i="1"/>
  <c r="E400" i="1"/>
  <c r="F400" i="1"/>
  <c r="D401" i="1"/>
  <c r="E401" i="1"/>
  <c r="F401" i="1"/>
  <c r="D402" i="1"/>
  <c r="E402" i="1"/>
  <c r="F402" i="1"/>
  <c r="D403" i="1"/>
  <c r="E403" i="1"/>
  <c r="F403" i="1"/>
  <c r="D404" i="1"/>
  <c r="E404" i="1"/>
  <c r="D405" i="1"/>
  <c r="E405" i="1"/>
  <c r="F405" i="1"/>
  <c r="D406" i="1"/>
  <c r="E406" i="1"/>
  <c r="F406" i="1"/>
  <c r="D407" i="1"/>
  <c r="E407" i="1"/>
  <c r="F407" i="1"/>
  <c r="D408" i="1"/>
  <c r="E408" i="1"/>
  <c r="F408" i="1"/>
  <c r="D409" i="1"/>
  <c r="E409" i="1"/>
  <c r="F409" i="1"/>
  <c r="D410" i="1"/>
  <c r="E410" i="1"/>
  <c r="F410" i="1"/>
  <c r="D411" i="1"/>
  <c r="E411" i="1"/>
  <c r="F411" i="1"/>
  <c r="D412" i="1"/>
  <c r="E412" i="1"/>
  <c r="F412" i="1"/>
  <c r="D413" i="1"/>
  <c r="E413" i="1"/>
  <c r="F413" i="1"/>
  <c r="D414" i="1"/>
  <c r="E414" i="1"/>
  <c r="F414" i="1"/>
  <c r="D415" i="1"/>
  <c r="E415" i="1"/>
  <c r="F415" i="1"/>
  <c r="D416" i="1"/>
  <c r="E416" i="1"/>
  <c r="F416" i="1"/>
  <c r="D417" i="1"/>
  <c r="E417" i="1"/>
  <c r="F417" i="1"/>
  <c r="D418" i="1"/>
  <c r="E418" i="1"/>
  <c r="F418" i="1"/>
  <c r="D419" i="1"/>
  <c r="E419" i="1"/>
  <c r="F419" i="1"/>
  <c r="D420" i="1"/>
  <c r="E420" i="1"/>
  <c r="F420" i="1"/>
  <c r="D421" i="1"/>
  <c r="E421" i="1"/>
  <c r="F421" i="1"/>
  <c r="D422" i="1"/>
  <c r="E422" i="1"/>
  <c r="F422" i="1"/>
  <c r="D423" i="1"/>
  <c r="E423" i="1"/>
  <c r="F423" i="1"/>
  <c r="D424" i="1"/>
  <c r="E424" i="1"/>
  <c r="F424" i="1"/>
  <c r="C425" i="1"/>
  <c r="D425" i="1"/>
  <c r="E425" i="1"/>
  <c r="F425" i="1"/>
  <c r="C426" i="1"/>
  <c r="D426" i="1"/>
  <c r="E426" i="1"/>
  <c r="F426" i="1"/>
  <c r="C427" i="1"/>
  <c r="D427" i="1"/>
  <c r="E427" i="1"/>
  <c r="F427" i="1"/>
  <c r="C428" i="1"/>
  <c r="D428" i="1"/>
  <c r="E428" i="1"/>
  <c r="F428" i="1"/>
  <c r="C429" i="1"/>
  <c r="D429" i="1"/>
  <c r="E429" i="1"/>
  <c r="F429" i="1"/>
  <c r="C430" i="1"/>
  <c r="D430" i="1"/>
  <c r="E430" i="1"/>
  <c r="F430" i="1"/>
  <c r="C431" i="1"/>
  <c r="D431" i="1"/>
  <c r="E431" i="1"/>
  <c r="F431" i="1"/>
  <c r="C432" i="1"/>
  <c r="D432" i="1"/>
  <c r="E432" i="1"/>
  <c r="F432" i="1"/>
  <c r="C433" i="1"/>
  <c r="D433" i="1"/>
  <c r="E433" i="1"/>
  <c r="F433" i="1"/>
  <c r="C434" i="1"/>
  <c r="D434" i="1"/>
  <c r="E434" i="1"/>
  <c r="F434" i="1"/>
  <c r="C435" i="1"/>
  <c r="D435" i="1"/>
  <c r="E435" i="1"/>
  <c r="F435" i="1"/>
  <c r="C436" i="1"/>
  <c r="D436" i="1"/>
  <c r="E436" i="1"/>
  <c r="F436" i="1"/>
  <c r="C437" i="1"/>
  <c r="D437" i="1"/>
  <c r="E437" i="1"/>
  <c r="F437" i="1"/>
  <c r="C438" i="1"/>
  <c r="D438" i="1"/>
  <c r="E438" i="1"/>
  <c r="F438" i="1"/>
  <c r="C439" i="1"/>
  <c r="D439" i="1"/>
  <c r="E439" i="1"/>
  <c r="F439" i="1"/>
  <c r="C440" i="1"/>
  <c r="D440" i="1"/>
  <c r="E440" i="1"/>
  <c r="F440" i="1"/>
  <c r="C441" i="1"/>
  <c r="D441" i="1"/>
  <c r="E441" i="1"/>
  <c r="F441" i="1"/>
  <c r="D442" i="1"/>
  <c r="E442" i="1"/>
  <c r="F442" i="1"/>
  <c r="C443" i="1"/>
  <c r="D443" i="1"/>
  <c r="E443" i="1"/>
  <c r="F443" i="1"/>
  <c r="C444" i="1"/>
  <c r="D444" i="1"/>
  <c r="E444" i="1"/>
  <c r="F444" i="1"/>
  <c r="C445" i="1"/>
  <c r="D445" i="1"/>
  <c r="E445" i="1"/>
  <c r="F445" i="1"/>
  <c r="C446" i="1"/>
  <c r="D446" i="1"/>
  <c r="E446" i="1"/>
  <c r="F446" i="1"/>
  <c r="C447" i="1"/>
  <c r="D447" i="1"/>
  <c r="E447" i="1"/>
  <c r="F447" i="1"/>
  <c r="C448" i="1"/>
  <c r="D448" i="1"/>
  <c r="E448" i="1"/>
  <c r="F448" i="1"/>
  <c r="C449" i="1"/>
  <c r="D449" i="1"/>
  <c r="E449" i="1"/>
  <c r="F449" i="1"/>
  <c r="C450" i="1"/>
  <c r="D450" i="1"/>
  <c r="E450" i="1"/>
  <c r="F450" i="1"/>
  <c r="C451" i="1"/>
  <c r="D451" i="1"/>
  <c r="E451" i="1"/>
  <c r="F451" i="1"/>
  <c r="C452" i="1"/>
  <c r="D452" i="1"/>
  <c r="E452" i="1"/>
  <c r="F452" i="1"/>
  <c r="C453" i="1"/>
  <c r="D453" i="1"/>
  <c r="E453" i="1"/>
  <c r="F453" i="1"/>
  <c r="C454" i="1"/>
  <c r="D454" i="1"/>
  <c r="E454" i="1"/>
  <c r="F454" i="1"/>
  <c r="C455" i="1"/>
  <c r="D455" i="1"/>
  <c r="E455" i="1"/>
  <c r="F455" i="1"/>
  <c r="C456" i="1"/>
  <c r="D456" i="1"/>
  <c r="E456" i="1"/>
  <c r="F456" i="1"/>
  <c r="C457" i="1"/>
  <c r="D457" i="1"/>
  <c r="E457" i="1"/>
  <c r="F457" i="1"/>
  <c r="D458" i="1"/>
  <c r="E458" i="1"/>
  <c r="F458" i="1"/>
  <c r="D459" i="1"/>
  <c r="E459" i="1"/>
  <c r="F459" i="1"/>
  <c r="D460" i="1"/>
  <c r="E460" i="1"/>
  <c r="F460" i="1"/>
  <c r="D461" i="1"/>
  <c r="E461" i="1"/>
  <c r="F461" i="1"/>
  <c r="D462" i="1"/>
  <c r="E462" i="1"/>
  <c r="F462" i="1"/>
  <c r="C463" i="1"/>
  <c r="D463" i="1"/>
  <c r="E463" i="1"/>
  <c r="F463" i="1"/>
  <c r="C464" i="1"/>
  <c r="D464" i="1"/>
  <c r="E464" i="1"/>
  <c r="F464" i="1"/>
  <c r="C465" i="1"/>
  <c r="D465" i="1"/>
  <c r="E465" i="1"/>
  <c r="F465" i="1"/>
  <c r="C466" i="1"/>
  <c r="D466" i="1"/>
  <c r="E466" i="1"/>
  <c r="F466" i="1"/>
  <c r="C467" i="1"/>
  <c r="D467" i="1"/>
  <c r="E467" i="1"/>
  <c r="F467" i="1"/>
  <c r="C468" i="1"/>
  <c r="D468" i="1"/>
  <c r="E468" i="1"/>
  <c r="F468" i="1"/>
  <c r="C469" i="1"/>
  <c r="D469" i="1"/>
  <c r="E469" i="1"/>
  <c r="F469" i="1"/>
  <c r="C470" i="1"/>
  <c r="D470" i="1"/>
  <c r="E470" i="1"/>
  <c r="F470" i="1"/>
  <c r="C471" i="1"/>
  <c r="D471" i="1"/>
  <c r="E471" i="1"/>
  <c r="F471" i="1"/>
  <c r="C472" i="1"/>
  <c r="D472" i="1"/>
  <c r="E472" i="1"/>
  <c r="F472" i="1"/>
  <c r="C473" i="1"/>
  <c r="D473" i="1"/>
  <c r="E473" i="1"/>
  <c r="F473" i="1"/>
  <c r="C474" i="1"/>
  <c r="D474" i="1"/>
  <c r="E474" i="1"/>
  <c r="F474" i="1"/>
  <c r="C475" i="1"/>
  <c r="D475" i="1"/>
  <c r="E475" i="1"/>
  <c r="F475" i="1"/>
  <c r="C476" i="1"/>
  <c r="D476" i="1"/>
  <c r="E476" i="1"/>
  <c r="F476" i="1"/>
  <c r="C477" i="1"/>
  <c r="D477" i="1"/>
  <c r="E477" i="1"/>
  <c r="F477" i="1"/>
  <c r="C478" i="1"/>
  <c r="D478" i="1"/>
  <c r="E478" i="1"/>
  <c r="F478" i="1"/>
  <c r="C479" i="1"/>
  <c r="D479" i="1"/>
  <c r="E479" i="1"/>
  <c r="F479" i="1"/>
  <c r="C480" i="1"/>
  <c r="D480" i="1"/>
  <c r="E480" i="1"/>
  <c r="F480" i="1"/>
  <c r="D481" i="1"/>
  <c r="E481" i="1"/>
  <c r="F481" i="1"/>
  <c r="D482" i="1"/>
  <c r="E482" i="1"/>
  <c r="F482" i="1"/>
  <c r="D483" i="1"/>
  <c r="E483" i="1"/>
  <c r="F483" i="1"/>
  <c r="D484" i="1"/>
  <c r="E484" i="1"/>
  <c r="F484" i="1"/>
  <c r="D485" i="1"/>
  <c r="E485" i="1"/>
  <c r="F485" i="1"/>
  <c r="D486" i="1"/>
  <c r="E486" i="1"/>
  <c r="F486" i="1"/>
  <c r="D487" i="1"/>
  <c r="E487" i="1"/>
  <c r="F487" i="1"/>
  <c r="D488" i="1"/>
  <c r="E488" i="1"/>
  <c r="F488" i="1"/>
  <c r="D489" i="1"/>
  <c r="E489" i="1"/>
  <c r="F489" i="1"/>
  <c r="D490" i="1"/>
  <c r="E490" i="1"/>
  <c r="F490" i="1"/>
  <c r="D491" i="1"/>
  <c r="E491" i="1"/>
  <c r="F491" i="1"/>
  <c r="D492" i="1"/>
  <c r="E492" i="1"/>
  <c r="F492" i="1"/>
  <c r="C493" i="1"/>
  <c r="D493" i="1"/>
  <c r="E493" i="1"/>
  <c r="F493" i="1"/>
  <c r="C494" i="1"/>
  <c r="D494" i="1"/>
  <c r="E494" i="1"/>
  <c r="F494" i="1"/>
  <c r="C495" i="1"/>
  <c r="D495" i="1"/>
  <c r="E495" i="1"/>
  <c r="F495" i="1"/>
  <c r="C496" i="1"/>
  <c r="D496" i="1"/>
  <c r="E496" i="1"/>
  <c r="F496" i="1"/>
  <c r="C497" i="1"/>
  <c r="D497" i="1"/>
  <c r="E497" i="1"/>
  <c r="F497" i="1"/>
  <c r="C498" i="1"/>
  <c r="D498" i="1"/>
  <c r="E498" i="1"/>
  <c r="F498" i="1"/>
  <c r="C499" i="1"/>
  <c r="D499" i="1"/>
  <c r="E499" i="1"/>
  <c r="F499" i="1"/>
  <c r="C500" i="1"/>
  <c r="D500" i="1"/>
  <c r="E500" i="1"/>
  <c r="F500" i="1"/>
  <c r="C501" i="1"/>
  <c r="D501" i="1"/>
  <c r="E501" i="1"/>
  <c r="F501" i="1"/>
  <c r="C502" i="1"/>
  <c r="D502" i="1"/>
  <c r="E502" i="1"/>
  <c r="F502" i="1"/>
  <c r="C503" i="1"/>
  <c r="D503" i="1"/>
  <c r="E503" i="1"/>
  <c r="F503" i="1"/>
  <c r="C504" i="1"/>
  <c r="D504" i="1"/>
  <c r="E504" i="1"/>
  <c r="F504" i="1"/>
  <c r="D505" i="1"/>
  <c r="E505" i="1"/>
  <c r="D506" i="1"/>
  <c r="E506" i="1"/>
  <c r="F506" i="1"/>
  <c r="D507" i="1"/>
  <c r="E507" i="1"/>
  <c r="F507" i="1"/>
  <c r="D508" i="1"/>
  <c r="E508" i="1"/>
  <c r="F508" i="1"/>
  <c r="D509" i="1"/>
  <c r="E509" i="1"/>
  <c r="F509" i="1"/>
  <c r="C510" i="1"/>
  <c r="D510" i="1"/>
  <c r="E510" i="1"/>
  <c r="F510" i="1"/>
  <c r="C511" i="1"/>
  <c r="D511" i="1"/>
  <c r="E511" i="1"/>
  <c r="F511" i="1"/>
  <c r="C512" i="1"/>
  <c r="D512" i="1"/>
  <c r="E512" i="1"/>
  <c r="F512" i="1"/>
  <c r="C513" i="1"/>
  <c r="D513" i="1"/>
  <c r="E513" i="1"/>
  <c r="F513" i="1"/>
  <c r="D514" i="1"/>
  <c r="E514" i="1"/>
  <c r="F514" i="1"/>
  <c r="D515" i="1"/>
  <c r="E515" i="1"/>
  <c r="F515" i="1"/>
  <c r="D516" i="1"/>
  <c r="E516" i="1"/>
  <c r="F516" i="1"/>
  <c r="D517" i="1"/>
  <c r="E517" i="1"/>
  <c r="F517" i="1"/>
  <c r="D518" i="1"/>
  <c r="E518" i="1"/>
  <c r="F518" i="1"/>
  <c r="D519" i="1"/>
  <c r="E519" i="1"/>
  <c r="F519" i="1"/>
  <c r="D520" i="1"/>
  <c r="E520" i="1"/>
  <c r="F520" i="1"/>
  <c r="D521" i="1"/>
  <c r="E521" i="1"/>
  <c r="F521" i="1"/>
  <c r="D522" i="1"/>
  <c r="E522" i="1"/>
  <c r="F522" i="1"/>
  <c r="D523" i="1"/>
  <c r="E523" i="1"/>
  <c r="F523" i="1"/>
  <c r="D524" i="1"/>
  <c r="E524" i="1"/>
  <c r="F524" i="1"/>
  <c r="C525" i="1"/>
  <c r="D525" i="1"/>
  <c r="E525" i="1"/>
  <c r="F525" i="1"/>
  <c r="C526" i="1"/>
  <c r="D526" i="1"/>
  <c r="E526" i="1"/>
  <c r="F526" i="1"/>
  <c r="C527" i="1"/>
  <c r="D527" i="1"/>
  <c r="E527" i="1"/>
  <c r="F527" i="1"/>
  <c r="C528" i="1"/>
  <c r="E528" i="1"/>
  <c r="F528" i="1"/>
  <c r="C529" i="1"/>
  <c r="D529" i="1"/>
  <c r="E529" i="1"/>
  <c r="F529" i="1"/>
  <c r="C530" i="1"/>
  <c r="D530" i="1"/>
  <c r="E530" i="1"/>
  <c r="F530" i="1"/>
  <c r="C531" i="1"/>
  <c r="D531" i="1"/>
  <c r="E531" i="1"/>
  <c r="F531" i="1"/>
  <c r="C532" i="1"/>
  <c r="D532" i="1"/>
  <c r="E532" i="1"/>
  <c r="F532" i="1"/>
  <c r="C533" i="1"/>
  <c r="D533" i="1"/>
  <c r="E533" i="1"/>
  <c r="F533" i="1"/>
  <c r="C534" i="1"/>
  <c r="D534" i="1"/>
  <c r="E534" i="1"/>
  <c r="F534" i="1"/>
  <c r="C535" i="1"/>
  <c r="D535" i="1"/>
  <c r="E535" i="1"/>
  <c r="F535" i="1"/>
  <c r="C536" i="1"/>
  <c r="D536" i="1"/>
  <c r="E536" i="1"/>
  <c r="F536" i="1"/>
  <c r="C537" i="1"/>
  <c r="D537" i="1"/>
  <c r="E537" i="1"/>
  <c r="F537" i="1"/>
  <c r="C538" i="1"/>
  <c r="D538" i="1"/>
  <c r="E538" i="1"/>
  <c r="F538" i="1"/>
  <c r="C539" i="1"/>
  <c r="D539" i="1"/>
  <c r="E539" i="1"/>
  <c r="F539" i="1"/>
  <c r="D540" i="1"/>
  <c r="E540" i="1"/>
  <c r="F540" i="1"/>
  <c r="D541" i="1"/>
  <c r="E541" i="1"/>
  <c r="F541" i="1"/>
  <c r="D542" i="1"/>
  <c r="E542" i="1"/>
  <c r="F542" i="1"/>
  <c r="D543" i="1"/>
  <c r="E543" i="1"/>
  <c r="F543" i="1"/>
  <c r="D544" i="1"/>
  <c r="E544" i="1"/>
  <c r="F544" i="1"/>
  <c r="D545" i="1"/>
  <c r="E545" i="1"/>
  <c r="F545" i="1"/>
  <c r="D546" i="1"/>
  <c r="E546" i="1"/>
  <c r="F546" i="1"/>
  <c r="D547" i="1"/>
  <c r="E547" i="1"/>
  <c r="F547" i="1"/>
  <c r="D548" i="1"/>
  <c r="E548" i="1"/>
  <c r="F548" i="1"/>
  <c r="C549" i="1"/>
  <c r="D549" i="1"/>
  <c r="E549" i="1"/>
  <c r="F549" i="1"/>
  <c r="C550" i="1"/>
  <c r="D550" i="1"/>
  <c r="E550" i="1"/>
  <c r="F550" i="1"/>
  <c r="C551" i="1"/>
  <c r="D551" i="1"/>
  <c r="E551" i="1"/>
  <c r="F551" i="1"/>
  <c r="C552" i="1"/>
  <c r="D552" i="1"/>
  <c r="E552" i="1"/>
  <c r="F552" i="1"/>
  <c r="C553" i="1"/>
  <c r="D553" i="1"/>
  <c r="E553" i="1"/>
  <c r="F553" i="1"/>
  <c r="C554" i="1"/>
  <c r="D554" i="1"/>
  <c r="E554" i="1"/>
  <c r="F554" i="1"/>
  <c r="C555" i="1"/>
  <c r="D555" i="1"/>
  <c r="E555" i="1"/>
  <c r="F555" i="1"/>
  <c r="C556" i="1"/>
  <c r="D556" i="1"/>
  <c r="E556" i="1"/>
  <c r="F556" i="1"/>
  <c r="C557" i="1"/>
  <c r="D557" i="1"/>
  <c r="E557" i="1"/>
  <c r="F557" i="1"/>
  <c r="C558" i="1"/>
  <c r="D558" i="1"/>
  <c r="E558" i="1"/>
  <c r="F558" i="1"/>
  <c r="C559" i="1"/>
  <c r="D559" i="1"/>
  <c r="E559" i="1"/>
  <c r="F559" i="1"/>
  <c r="C560" i="1"/>
  <c r="D560" i="1"/>
  <c r="E560" i="1"/>
  <c r="F560" i="1"/>
  <c r="C561" i="1"/>
  <c r="D561" i="1"/>
  <c r="E561" i="1"/>
  <c r="F561" i="1"/>
  <c r="C562" i="1"/>
  <c r="D562" i="1"/>
  <c r="E562" i="1"/>
  <c r="F562" i="1"/>
  <c r="C563" i="1"/>
  <c r="D563" i="1"/>
  <c r="E563" i="1"/>
  <c r="F563" i="1"/>
  <c r="C564" i="1"/>
  <c r="D564" i="1"/>
  <c r="E564" i="1"/>
  <c r="F564" i="1"/>
  <c r="C565" i="1"/>
  <c r="D565" i="1"/>
  <c r="E565" i="1"/>
  <c r="F565" i="1"/>
  <c r="C566" i="1"/>
  <c r="D566" i="1"/>
  <c r="E566" i="1"/>
  <c r="F566" i="1"/>
  <c r="C567" i="1"/>
  <c r="D567" i="1"/>
  <c r="E567" i="1"/>
  <c r="F567" i="1"/>
  <c r="C568" i="1"/>
  <c r="D568" i="1"/>
  <c r="E568" i="1"/>
  <c r="F568" i="1"/>
  <c r="C569" i="1"/>
  <c r="D569" i="1"/>
  <c r="E569" i="1"/>
  <c r="F569" i="1"/>
  <c r="C570" i="1"/>
  <c r="D570" i="1"/>
  <c r="E570" i="1"/>
  <c r="F570" i="1"/>
  <c r="C571" i="1"/>
  <c r="D571" i="1"/>
  <c r="E571" i="1"/>
  <c r="F571" i="1"/>
  <c r="C572" i="1"/>
  <c r="D572" i="1"/>
  <c r="E572" i="1"/>
  <c r="F572" i="1"/>
  <c r="C573" i="1"/>
  <c r="D573" i="1"/>
  <c r="E573" i="1"/>
  <c r="F573" i="1"/>
  <c r="C574" i="1"/>
  <c r="D574" i="1"/>
  <c r="E574" i="1"/>
  <c r="F574" i="1"/>
  <c r="C575" i="1"/>
  <c r="D575" i="1"/>
  <c r="E575" i="1"/>
  <c r="F575" i="1"/>
  <c r="C576" i="1"/>
  <c r="D576" i="1"/>
  <c r="E576" i="1"/>
  <c r="F576" i="1"/>
  <c r="C577" i="1"/>
  <c r="D577" i="1"/>
  <c r="E577" i="1"/>
  <c r="F577" i="1"/>
  <c r="C578" i="1"/>
  <c r="D578" i="1"/>
  <c r="E578" i="1"/>
  <c r="F578" i="1"/>
  <c r="C579" i="1"/>
  <c r="D579" i="1"/>
  <c r="E579" i="1"/>
  <c r="F579" i="1"/>
  <c r="C580" i="1"/>
  <c r="D580" i="1"/>
  <c r="E580" i="1"/>
  <c r="F580" i="1"/>
  <c r="C581" i="1"/>
  <c r="D581" i="1"/>
  <c r="E581" i="1"/>
  <c r="F581" i="1"/>
  <c r="C582" i="1"/>
  <c r="D582" i="1"/>
  <c r="E582" i="1"/>
  <c r="F582" i="1"/>
  <c r="C583" i="1"/>
  <c r="D583" i="1"/>
  <c r="E583" i="1"/>
  <c r="F583" i="1"/>
  <c r="D584" i="1"/>
  <c r="E584" i="1"/>
  <c r="F584" i="1"/>
  <c r="D585" i="1"/>
  <c r="E585" i="1"/>
  <c r="F585" i="1"/>
  <c r="D586" i="1"/>
  <c r="E586" i="1"/>
  <c r="F586" i="1"/>
  <c r="D587" i="1"/>
  <c r="E587" i="1"/>
  <c r="F587" i="1"/>
  <c r="D588" i="1"/>
  <c r="E588" i="1"/>
  <c r="F588" i="1"/>
  <c r="D589" i="1"/>
  <c r="E589" i="1"/>
  <c r="F589" i="1"/>
  <c r="D590" i="1"/>
  <c r="E590" i="1"/>
  <c r="F590" i="1"/>
  <c r="D591" i="1"/>
  <c r="E591" i="1"/>
  <c r="F591" i="1"/>
  <c r="D592" i="1"/>
  <c r="E592" i="1"/>
  <c r="F592" i="1"/>
  <c r="D593" i="1"/>
  <c r="E593" i="1"/>
  <c r="F593" i="1"/>
  <c r="D594" i="1"/>
  <c r="E594" i="1"/>
  <c r="F594" i="1"/>
  <c r="D595" i="1"/>
  <c r="E595" i="1"/>
  <c r="F595" i="1"/>
  <c r="D596" i="1"/>
  <c r="E596" i="1"/>
  <c r="F596" i="1"/>
  <c r="D597" i="1"/>
  <c r="E597" i="1"/>
  <c r="F597" i="1"/>
  <c r="D598" i="1"/>
  <c r="E598" i="1"/>
  <c r="F598" i="1"/>
  <c r="D599" i="1"/>
  <c r="E599" i="1"/>
  <c r="F599" i="1"/>
  <c r="D600" i="1"/>
  <c r="E600" i="1"/>
  <c r="F600" i="1"/>
  <c r="D601" i="1"/>
  <c r="E601" i="1"/>
  <c r="F601" i="1"/>
  <c r="D602" i="1"/>
  <c r="E602" i="1"/>
  <c r="F602" i="1"/>
  <c r="D603" i="1"/>
  <c r="E603" i="1"/>
  <c r="F603" i="1"/>
  <c r="D604" i="1"/>
  <c r="E604" i="1"/>
  <c r="F604" i="1"/>
  <c r="D605" i="1"/>
  <c r="E605" i="1"/>
  <c r="F605" i="1"/>
  <c r="D606" i="1"/>
  <c r="E606" i="1"/>
  <c r="F606" i="1"/>
  <c r="D607" i="1"/>
  <c r="E607" i="1"/>
  <c r="F607" i="1"/>
  <c r="D608" i="1"/>
  <c r="E608" i="1"/>
  <c r="F608" i="1"/>
  <c r="D609" i="1"/>
  <c r="E609" i="1"/>
  <c r="F609" i="1"/>
  <c r="D610" i="1"/>
  <c r="E610" i="1"/>
  <c r="F610" i="1"/>
  <c r="D611" i="1"/>
  <c r="E611" i="1"/>
  <c r="F611" i="1"/>
  <c r="D612" i="1"/>
  <c r="E612" i="1"/>
  <c r="F612" i="1"/>
  <c r="D613" i="1"/>
  <c r="E613" i="1"/>
  <c r="F613" i="1"/>
  <c r="D614" i="1"/>
  <c r="E614" i="1"/>
  <c r="F614" i="1"/>
  <c r="D615" i="1"/>
  <c r="E615" i="1"/>
  <c r="F615" i="1"/>
  <c r="D616" i="1"/>
  <c r="E616" i="1"/>
  <c r="F616" i="1"/>
  <c r="D617" i="1"/>
  <c r="E617" i="1"/>
  <c r="F617" i="1"/>
  <c r="D618" i="1"/>
  <c r="E618" i="1"/>
  <c r="F618" i="1"/>
  <c r="D619" i="1"/>
  <c r="E619" i="1"/>
  <c r="F619" i="1"/>
  <c r="D620" i="1"/>
  <c r="E620" i="1"/>
  <c r="F620" i="1"/>
  <c r="D621" i="1"/>
  <c r="E621" i="1"/>
  <c r="F621" i="1"/>
  <c r="D622" i="1"/>
  <c r="E622" i="1"/>
  <c r="F622" i="1"/>
  <c r="D623" i="1"/>
  <c r="E623" i="1"/>
  <c r="F623" i="1"/>
  <c r="D624" i="1"/>
  <c r="E624" i="1"/>
  <c r="F624" i="1"/>
  <c r="D625" i="1"/>
  <c r="E625" i="1"/>
  <c r="F625" i="1"/>
  <c r="D626" i="1"/>
  <c r="E626" i="1"/>
  <c r="F626" i="1"/>
  <c r="D627" i="1"/>
  <c r="E627" i="1"/>
  <c r="F627" i="1"/>
  <c r="D628" i="1"/>
  <c r="E628" i="1"/>
  <c r="F628" i="1"/>
  <c r="D629" i="1"/>
  <c r="E629" i="1"/>
  <c r="F629" i="1"/>
  <c r="D630" i="1"/>
  <c r="E630" i="1"/>
  <c r="F630" i="1"/>
  <c r="D631" i="1"/>
  <c r="E631" i="1"/>
  <c r="F631" i="1"/>
  <c r="D632" i="1"/>
  <c r="E632" i="1"/>
  <c r="F632" i="1"/>
  <c r="D633" i="1"/>
  <c r="E633" i="1"/>
  <c r="F633" i="1"/>
  <c r="D634" i="1"/>
  <c r="E634" i="1"/>
  <c r="F634" i="1"/>
  <c r="D635" i="1"/>
  <c r="E635" i="1"/>
  <c r="F635" i="1"/>
  <c r="D636" i="1"/>
  <c r="E636" i="1"/>
  <c r="F636" i="1"/>
  <c r="D637" i="1"/>
  <c r="E637" i="1"/>
  <c r="F637" i="1"/>
  <c r="D638" i="1"/>
  <c r="E638" i="1"/>
  <c r="F638" i="1"/>
  <c r="D639" i="1"/>
  <c r="E639" i="1"/>
  <c r="F639" i="1"/>
  <c r="D640" i="1"/>
  <c r="E640" i="1"/>
  <c r="F640" i="1"/>
  <c r="D641" i="1"/>
  <c r="E641" i="1"/>
  <c r="F641" i="1"/>
  <c r="D642" i="1"/>
  <c r="E642" i="1"/>
  <c r="F642" i="1"/>
  <c r="D643" i="1"/>
  <c r="E643" i="1"/>
  <c r="F643" i="1"/>
  <c r="D644" i="1"/>
  <c r="E644" i="1"/>
  <c r="F644" i="1"/>
  <c r="D645" i="1"/>
  <c r="E645" i="1"/>
  <c r="F645" i="1"/>
  <c r="D646" i="1"/>
  <c r="E646" i="1"/>
  <c r="F646" i="1"/>
  <c r="D647" i="1"/>
  <c r="E647" i="1"/>
  <c r="F647" i="1"/>
  <c r="D648" i="1"/>
  <c r="E648" i="1"/>
  <c r="F648" i="1"/>
  <c r="D649" i="1"/>
  <c r="E649" i="1"/>
  <c r="F649" i="1"/>
  <c r="D650" i="1"/>
  <c r="E650" i="1"/>
  <c r="F650" i="1"/>
  <c r="D651" i="1"/>
  <c r="E651" i="1"/>
  <c r="F651" i="1"/>
  <c r="E652" i="1"/>
  <c r="F652" i="1"/>
  <c r="D653" i="1"/>
  <c r="E653" i="1"/>
  <c r="F653" i="1"/>
  <c r="D654" i="1"/>
  <c r="E654" i="1"/>
  <c r="F654" i="1"/>
  <c r="D655" i="1"/>
  <c r="E655" i="1"/>
  <c r="F655" i="1"/>
  <c r="D656" i="1"/>
  <c r="E656" i="1"/>
  <c r="F656" i="1"/>
  <c r="D657" i="1"/>
  <c r="E657" i="1"/>
  <c r="F657" i="1"/>
  <c r="D658" i="1"/>
  <c r="E658" i="1"/>
  <c r="F658" i="1"/>
  <c r="C659" i="1"/>
  <c r="D659" i="1"/>
  <c r="E659" i="1"/>
  <c r="F659" i="1"/>
  <c r="C660" i="1"/>
  <c r="D660" i="1"/>
  <c r="E660" i="1"/>
  <c r="F660" i="1"/>
  <c r="C661" i="1"/>
  <c r="D661" i="1"/>
  <c r="E661" i="1"/>
  <c r="F661" i="1"/>
  <c r="C662" i="1"/>
  <c r="D662" i="1"/>
  <c r="E662" i="1"/>
  <c r="F662" i="1"/>
  <c r="C663" i="1"/>
  <c r="D663" i="1"/>
  <c r="E663" i="1"/>
  <c r="F663" i="1"/>
  <c r="C664" i="1"/>
  <c r="D664" i="1"/>
  <c r="E664" i="1"/>
  <c r="F664" i="1"/>
  <c r="C665" i="1"/>
  <c r="D665" i="1"/>
  <c r="E665" i="1"/>
  <c r="F665" i="1"/>
  <c r="C666" i="1"/>
  <c r="D666" i="1"/>
  <c r="E666" i="1"/>
  <c r="F666" i="1"/>
  <c r="C667" i="1"/>
  <c r="D667" i="1"/>
  <c r="E667" i="1"/>
  <c r="F667" i="1"/>
  <c r="C668" i="1"/>
  <c r="D668" i="1"/>
  <c r="E668" i="1"/>
  <c r="F668" i="1"/>
  <c r="C669" i="1"/>
  <c r="D669" i="1"/>
  <c r="E669" i="1"/>
  <c r="F669" i="1"/>
  <c r="C670" i="1"/>
  <c r="D670" i="1"/>
  <c r="E670" i="1"/>
  <c r="F670" i="1"/>
  <c r="C671" i="1"/>
  <c r="D671" i="1"/>
  <c r="E671" i="1"/>
  <c r="F671" i="1"/>
  <c r="C672" i="1"/>
  <c r="D672" i="1"/>
  <c r="E672" i="1"/>
  <c r="F672" i="1"/>
  <c r="C673" i="1"/>
  <c r="D673" i="1"/>
  <c r="E673" i="1"/>
  <c r="F673" i="1"/>
  <c r="C674" i="1"/>
  <c r="D674" i="1"/>
  <c r="E674" i="1"/>
  <c r="F674" i="1"/>
  <c r="C675" i="1"/>
  <c r="D675" i="1"/>
  <c r="E675" i="1"/>
  <c r="F675" i="1"/>
  <c r="C676" i="1"/>
  <c r="D676" i="1"/>
  <c r="E676" i="1"/>
  <c r="F676" i="1"/>
  <c r="C677" i="1"/>
  <c r="D677" i="1"/>
  <c r="E677" i="1"/>
  <c r="F677" i="1"/>
  <c r="C678" i="1"/>
  <c r="D678" i="1"/>
  <c r="E678" i="1"/>
  <c r="F678" i="1"/>
  <c r="C679" i="1"/>
  <c r="D679" i="1"/>
  <c r="E679" i="1"/>
  <c r="F679" i="1"/>
  <c r="C680" i="1"/>
  <c r="D680" i="1"/>
  <c r="E680" i="1"/>
  <c r="F680" i="1"/>
  <c r="C681" i="1"/>
  <c r="D681" i="1"/>
  <c r="E681" i="1"/>
  <c r="F681" i="1"/>
  <c r="C682" i="1"/>
  <c r="D682" i="1"/>
  <c r="E682" i="1"/>
  <c r="F682" i="1"/>
  <c r="C683" i="1"/>
  <c r="D683" i="1"/>
  <c r="E683" i="1"/>
  <c r="F683" i="1"/>
  <c r="C684" i="1"/>
  <c r="D684" i="1"/>
  <c r="E684" i="1"/>
  <c r="F684" i="1"/>
  <c r="C685" i="1"/>
  <c r="D685" i="1"/>
  <c r="E685" i="1"/>
  <c r="F685" i="1"/>
  <c r="C686" i="1"/>
  <c r="D686" i="1"/>
  <c r="E686" i="1"/>
  <c r="F686" i="1"/>
  <c r="C687" i="1"/>
  <c r="D687" i="1"/>
  <c r="E687" i="1"/>
  <c r="F687" i="1"/>
  <c r="C688" i="1"/>
  <c r="D688" i="1"/>
  <c r="E688" i="1"/>
  <c r="F688" i="1"/>
  <c r="C689" i="1"/>
  <c r="D689" i="1"/>
  <c r="E689" i="1"/>
  <c r="F689" i="1"/>
  <c r="C690" i="1"/>
  <c r="D690" i="1"/>
  <c r="E690" i="1"/>
  <c r="F690" i="1"/>
  <c r="C691" i="1"/>
  <c r="D691" i="1"/>
  <c r="E691" i="1"/>
  <c r="F691" i="1"/>
  <c r="C692" i="1"/>
  <c r="D692" i="1"/>
  <c r="E692" i="1"/>
  <c r="F692" i="1"/>
  <c r="C693" i="1"/>
  <c r="D693" i="1"/>
  <c r="E693" i="1"/>
  <c r="F693" i="1"/>
  <c r="C694" i="1"/>
  <c r="D694" i="1"/>
  <c r="E694" i="1"/>
  <c r="F694" i="1"/>
  <c r="C695" i="1"/>
  <c r="D695" i="1"/>
  <c r="E695" i="1"/>
  <c r="F695" i="1"/>
  <c r="C696" i="1"/>
  <c r="D696" i="1"/>
  <c r="E696" i="1"/>
  <c r="F696" i="1"/>
  <c r="C698" i="1"/>
  <c r="D698" i="1"/>
  <c r="E698" i="1"/>
  <c r="F698" i="1"/>
  <c r="C699" i="1"/>
  <c r="D699" i="1"/>
  <c r="E699" i="1"/>
  <c r="F699" i="1"/>
  <c r="C700" i="1"/>
  <c r="D700" i="1"/>
  <c r="E700" i="1"/>
  <c r="F700" i="1"/>
  <c r="C701" i="1"/>
  <c r="D701" i="1"/>
  <c r="E701" i="1"/>
  <c r="F701" i="1"/>
  <c r="C702" i="1"/>
  <c r="D702" i="1"/>
  <c r="E702" i="1"/>
  <c r="F702" i="1"/>
  <c r="C703" i="1"/>
  <c r="D703" i="1"/>
  <c r="E703" i="1"/>
  <c r="F703" i="1"/>
  <c r="C704" i="1"/>
  <c r="D704" i="1"/>
  <c r="E704" i="1"/>
  <c r="F704" i="1"/>
  <c r="C705" i="1"/>
  <c r="D705" i="1"/>
  <c r="E705" i="1"/>
  <c r="F705" i="1"/>
  <c r="C706" i="1"/>
  <c r="D706" i="1"/>
  <c r="E706" i="1"/>
  <c r="F706" i="1"/>
  <c r="C707" i="1"/>
  <c r="D707" i="1"/>
  <c r="E707" i="1"/>
  <c r="F707" i="1"/>
  <c r="C708" i="1"/>
  <c r="D708" i="1"/>
  <c r="E708" i="1"/>
  <c r="F708" i="1"/>
  <c r="C709" i="1"/>
  <c r="D709" i="1"/>
  <c r="E709" i="1"/>
  <c r="F709" i="1"/>
  <c r="C710" i="1"/>
  <c r="D710" i="1"/>
  <c r="E710" i="1"/>
  <c r="F710" i="1"/>
  <c r="C711" i="1"/>
  <c r="D711" i="1"/>
  <c r="E711" i="1"/>
  <c r="F711" i="1"/>
  <c r="C712" i="1"/>
  <c r="D712" i="1"/>
  <c r="E712" i="1"/>
  <c r="F712" i="1"/>
  <c r="C713" i="1"/>
  <c r="D713" i="1"/>
  <c r="E713" i="1"/>
  <c r="F713" i="1"/>
  <c r="C714" i="1"/>
  <c r="D714" i="1"/>
  <c r="E714" i="1"/>
  <c r="F714" i="1"/>
  <c r="C715" i="1"/>
  <c r="D715" i="1"/>
  <c r="E715" i="1"/>
  <c r="F715" i="1"/>
  <c r="C716" i="1"/>
  <c r="D716" i="1"/>
  <c r="E716" i="1"/>
  <c r="F716" i="1"/>
  <c r="C717" i="1"/>
  <c r="D717" i="1"/>
  <c r="E717" i="1"/>
  <c r="F717" i="1"/>
  <c r="C718" i="1"/>
  <c r="D718" i="1"/>
  <c r="E718" i="1"/>
  <c r="F718" i="1"/>
  <c r="C719" i="1"/>
  <c r="D719" i="1"/>
  <c r="E719" i="1"/>
  <c r="F719" i="1"/>
  <c r="C720" i="1"/>
  <c r="D720" i="1"/>
  <c r="E720" i="1"/>
  <c r="F720" i="1"/>
  <c r="C721" i="1"/>
  <c r="D721" i="1"/>
  <c r="E721" i="1"/>
  <c r="F721" i="1"/>
  <c r="C722" i="1"/>
  <c r="D722" i="1"/>
  <c r="E722" i="1"/>
  <c r="F722" i="1"/>
  <c r="C723" i="1"/>
  <c r="D723" i="1"/>
  <c r="E723" i="1"/>
  <c r="F723" i="1"/>
  <c r="C724" i="1"/>
  <c r="D724" i="1"/>
  <c r="E724" i="1"/>
  <c r="F724" i="1"/>
  <c r="C725" i="1"/>
  <c r="D725" i="1"/>
  <c r="E725" i="1"/>
  <c r="F725" i="1"/>
  <c r="C726" i="1"/>
  <c r="D726" i="1"/>
  <c r="E726" i="1"/>
  <c r="F726" i="1"/>
  <c r="C727" i="1"/>
  <c r="D727" i="1"/>
  <c r="E727" i="1"/>
  <c r="F727" i="1"/>
  <c r="C728" i="1"/>
  <c r="D728" i="1"/>
  <c r="E728" i="1"/>
  <c r="F728" i="1"/>
  <c r="C729" i="1"/>
  <c r="D729" i="1"/>
  <c r="E729" i="1"/>
  <c r="F729" i="1"/>
  <c r="C730" i="1"/>
  <c r="D730" i="1"/>
  <c r="E730" i="1"/>
  <c r="F730" i="1"/>
  <c r="C731" i="1"/>
  <c r="D731" i="1"/>
  <c r="E731" i="1"/>
  <c r="F731" i="1"/>
  <c r="C732" i="1"/>
  <c r="D732" i="1"/>
  <c r="E732" i="1"/>
  <c r="F732" i="1"/>
  <c r="C733" i="1"/>
  <c r="D733" i="1"/>
  <c r="E733" i="1"/>
  <c r="F733" i="1"/>
  <c r="C735" i="1"/>
  <c r="D735" i="1"/>
  <c r="E735" i="1"/>
  <c r="F735" i="1"/>
  <c r="D736" i="1"/>
  <c r="E736" i="1"/>
  <c r="F736" i="1"/>
  <c r="C737" i="1"/>
  <c r="D737" i="1"/>
  <c r="E737" i="1"/>
  <c r="F737" i="1"/>
  <c r="C738" i="1"/>
  <c r="D738" i="1"/>
  <c r="E738" i="1"/>
  <c r="F738" i="1"/>
  <c r="D739" i="1"/>
  <c r="E739" i="1"/>
  <c r="F739" i="1"/>
  <c r="D740" i="1"/>
  <c r="E740" i="1"/>
  <c r="F740" i="1"/>
  <c r="D741" i="1"/>
  <c r="E741" i="1"/>
  <c r="F741" i="1"/>
  <c r="D742" i="1"/>
  <c r="E742" i="1"/>
  <c r="F742" i="1"/>
  <c r="D743" i="1"/>
  <c r="E743" i="1"/>
  <c r="F743" i="1"/>
  <c r="D744" i="1"/>
  <c r="E744" i="1"/>
  <c r="F744" i="1"/>
  <c r="D745" i="1"/>
  <c r="E745" i="1"/>
  <c r="F745" i="1"/>
  <c r="D746" i="1"/>
  <c r="E746" i="1"/>
  <c r="F746" i="1"/>
  <c r="D747" i="1"/>
  <c r="E747" i="1"/>
  <c r="F747" i="1"/>
  <c r="D748" i="1"/>
  <c r="E748" i="1"/>
  <c r="F748" i="1"/>
  <c r="D749" i="1"/>
  <c r="E749" i="1"/>
  <c r="F749" i="1"/>
  <c r="D750" i="1"/>
  <c r="E750" i="1"/>
  <c r="F750" i="1"/>
  <c r="D751" i="1"/>
  <c r="E751" i="1"/>
  <c r="F751" i="1"/>
  <c r="D752" i="1"/>
  <c r="E752" i="1"/>
  <c r="F752" i="1"/>
  <c r="D753" i="1"/>
  <c r="E753" i="1"/>
  <c r="F753" i="1"/>
  <c r="D754" i="1"/>
  <c r="E754" i="1"/>
  <c r="F754" i="1"/>
  <c r="D755" i="1"/>
  <c r="E755" i="1"/>
  <c r="F755" i="1"/>
  <c r="D756" i="1"/>
  <c r="E756" i="1"/>
  <c r="F756" i="1"/>
  <c r="D757" i="1"/>
  <c r="E757" i="1"/>
  <c r="F757" i="1"/>
  <c r="D758" i="1"/>
  <c r="E758" i="1"/>
  <c r="F758" i="1"/>
  <c r="D759" i="1"/>
  <c r="E759" i="1"/>
  <c r="F759" i="1"/>
  <c r="D760" i="1"/>
  <c r="E760" i="1"/>
  <c r="F760" i="1"/>
  <c r="D761" i="1"/>
  <c r="E761" i="1"/>
  <c r="F761" i="1"/>
  <c r="D762" i="1"/>
  <c r="E762" i="1"/>
  <c r="F762" i="1"/>
  <c r="D763" i="1"/>
  <c r="E763" i="1"/>
  <c r="F763" i="1"/>
  <c r="D764" i="1"/>
  <c r="E764" i="1"/>
  <c r="F764" i="1"/>
  <c r="D765" i="1"/>
  <c r="E765" i="1"/>
  <c r="F765" i="1"/>
  <c r="D766" i="1"/>
  <c r="E766" i="1"/>
  <c r="F766" i="1"/>
  <c r="D767" i="1"/>
  <c r="E767" i="1"/>
  <c r="F767" i="1"/>
  <c r="D768" i="1"/>
  <c r="E768" i="1"/>
  <c r="F768" i="1"/>
  <c r="D769" i="1"/>
  <c r="E769" i="1"/>
  <c r="F769" i="1"/>
  <c r="D770" i="1"/>
  <c r="E770" i="1"/>
  <c r="F770" i="1"/>
  <c r="D771" i="1"/>
  <c r="E771" i="1"/>
  <c r="F771" i="1"/>
  <c r="D772" i="1"/>
  <c r="E772" i="1"/>
  <c r="F772" i="1"/>
  <c r="D773" i="1"/>
  <c r="E773" i="1"/>
  <c r="F773" i="1"/>
  <c r="D774" i="1"/>
  <c r="E774" i="1"/>
  <c r="F774" i="1"/>
  <c r="C781" i="1"/>
  <c r="D781" i="1"/>
  <c r="E781" i="1"/>
  <c r="F781" i="1"/>
  <c r="C782" i="1"/>
  <c r="D782" i="1"/>
  <c r="E782" i="1"/>
  <c r="F782" i="1"/>
  <c r="C783" i="1"/>
  <c r="D783" i="1"/>
  <c r="E783" i="1"/>
  <c r="F783" i="1"/>
  <c r="D784" i="1"/>
  <c r="E784" i="1"/>
  <c r="F784" i="1"/>
  <c r="D785" i="1"/>
  <c r="E785" i="1"/>
  <c r="F785" i="1"/>
  <c r="D786" i="1"/>
  <c r="E786" i="1"/>
  <c r="F786" i="1"/>
  <c r="D787" i="1"/>
  <c r="E787" i="1"/>
  <c r="F787" i="1"/>
  <c r="D788" i="1"/>
  <c r="E788" i="1"/>
  <c r="F788" i="1"/>
  <c r="D789" i="1"/>
  <c r="E789" i="1"/>
  <c r="F789" i="1"/>
  <c r="D791" i="1"/>
  <c r="E791" i="1"/>
  <c r="F791" i="1"/>
  <c r="D792" i="1"/>
  <c r="E792" i="1"/>
  <c r="F792" i="1"/>
  <c r="D793" i="1"/>
  <c r="E793" i="1"/>
  <c r="F793" i="1"/>
  <c r="D794" i="1"/>
  <c r="E794" i="1"/>
  <c r="F794" i="1"/>
  <c r="D796" i="1"/>
  <c r="E796" i="1"/>
  <c r="F796" i="1"/>
  <c r="D797" i="1"/>
  <c r="E797" i="1"/>
  <c r="F797" i="1"/>
  <c r="D798" i="1"/>
  <c r="E798" i="1"/>
  <c r="F798" i="1"/>
  <c r="D799" i="1"/>
  <c r="E799" i="1"/>
  <c r="F799" i="1"/>
  <c r="D800" i="1"/>
  <c r="E800" i="1"/>
  <c r="F800" i="1"/>
  <c r="R6" i="1"/>
  <c r="K245" i="1"/>
  <c r="X800" i="1"/>
  <c r="W800" i="1"/>
  <c r="N800" i="1"/>
  <c r="L800" i="1"/>
  <c r="K800" i="1"/>
  <c r="J800" i="1"/>
  <c r="O800" i="1"/>
  <c r="P800" i="1" s="1"/>
  <c r="X799" i="1"/>
  <c r="W799" i="1"/>
  <c r="N799" i="1"/>
  <c r="L799" i="1"/>
  <c r="K799" i="1"/>
  <c r="J799" i="1"/>
  <c r="O799" i="1"/>
  <c r="R799" i="1" s="1"/>
  <c r="X798" i="1"/>
  <c r="W798" i="1"/>
  <c r="N798" i="1"/>
  <c r="L798" i="1"/>
  <c r="K798" i="1"/>
  <c r="J798" i="1"/>
  <c r="O798" i="1"/>
  <c r="R798" i="1" s="1"/>
  <c r="X797" i="1"/>
  <c r="W797" i="1"/>
  <c r="N797" i="1"/>
  <c r="L797" i="1"/>
  <c r="K797" i="1"/>
  <c r="J797" i="1"/>
  <c r="O797" i="1"/>
  <c r="R797" i="1" s="1"/>
  <c r="X796" i="1"/>
  <c r="W796" i="1"/>
  <c r="N796" i="1"/>
  <c r="L796" i="1"/>
  <c r="K796" i="1"/>
  <c r="J796" i="1"/>
  <c r="O796" i="1"/>
  <c r="R796" i="1" s="1"/>
  <c r="X794" i="1"/>
  <c r="W794" i="1"/>
  <c r="N794" i="1"/>
  <c r="L794" i="1"/>
  <c r="K794" i="1"/>
  <c r="J794" i="1"/>
  <c r="O794" i="1"/>
  <c r="X793" i="1"/>
  <c r="W793" i="1"/>
  <c r="N793" i="1"/>
  <c r="L793" i="1"/>
  <c r="K793" i="1"/>
  <c r="J793" i="1"/>
  <c r="O793" i="1"/>
  <c r="P793" i="1" s="1"/>
  <c r="X792" i="1"/>
  <c r="W792" i="1"/>
  <c r="N792" i="1"/>
  <c r="L792" i="1"/>
  <c r="K792" i="1"/>
  <c r="J792" i="1"/>
  <c r="O792" i="1"/>
  <c r="X791" i="1"/>
  <c r="W791" i="1"/>
  <c r="N791" i="1"/>
  <c r="L791" i="1"/>
  <c r="K791" i="1"/>
  <c r="J791" i="1"/>
  <c r="O791" i="1"/>
  <c r="X789" i="1"/>
  <c r="W789" i="1"/>
  <c r="N789" i="1"/>
  <c r="L789" i="1"/>
  <c r="K789" i="1"/>
  <c r="J789" i="1"/>
  <c r="O789" i="1"/>
  <c r="R789" i="1" s="1"/>
  <c r="X788" i="1"/>
  <c r="W788" i="1"/>
  <c r="N788" i="1"/>
  <c r="L788" i="1"/>
  <c r="K788" i="1"/>
  <c r="J788" i="1"/>
  <c r="O788" i="1"/>
  <c r="R788" i="1" s="1"/>
  <c r="X787" i="1"/>
  <c r="W787" i="1"/>
  <c r="N787" i="1"/>
  <c r="L787" i="1"/>
  <c r="K787" i="1"/>
  <c r="J787" i="1"/>
  <c r="O787" i="1"/>
  <c r="R787" i="1" s="1"/>
  <c r="X786" i="1"/>
  <c r="W786" i="1"/>
  <c r="N786" i="1"/>
  <c r="L786" i="1"/>
  <c r="K786" i="1"/>
  <c r="J786" i="1"/>
  <c r="O786" i="1"/>
  <c r="R786" i="1" s="1"/>
  <c r="X785" i="1"/>
  <c r="W785" i="1"/>
  <c r="N785" i="1"/>
  <c r="L785" i="1"/>
  <c r="K785" i="1"/>
  <c r="J785" i="1"/>
  <c r="O785" i="1"/>
  <c r="X784" i="1"/>
  <c r="W784" i="1"/>
  <c r="N784" i="1"/>
  <c r="L784" i="1"/>
  <c r="J784" i="1"/>
  <c r="O784" i="1"/>
  <c r="R784" i="1" s="1"/>
  <c r="X783" i="1"/>
  <c r="W783" i="1"/>
  <c r="N783" i="1"/>
  <c r="L783" i="1"/>
  <c r="K783" i="1"/>
  <c r="J783" i="1"/>
  <c r="I783" i="1"/>
  <c r="O783" i="1"/>
  <c r="R783" i="1" s="1"/>
  <c r="X782" i="1"/>
  <c r="W782" i="1"/>
  <c r="N782" i="1"/>
  <c r="L782" i="1"/>
  <c r="K782" i="1"/>
  <c r="J782" i="1"/>
  <c r="I782" i="1"/>
  <c r="O782" i="1"/>
  <c r="X781" i="1"/>
  <c r="W781" i="1"/>
  <c r="N781" i="1"/>
  <c r="L781" i="1"/>
  <c r="K781" i="1"/>
  <c r="J781" i="1"/>
  <c r="I781" i="1"/>
  <c r="O781" i="1"/>
  <c r="X774" i="1"/>
  <c r="W774" i="1"/>
  <c r="N774" i="1"/>
  <c r="L774" i="1"/>
  <c r="K774" i="1"/>
  <c r="J774" i="1"/>
  <c r="O774" i="1"/>
  <c r="R774" i="1" s="1"/>
  <c r="X773" i="1"/>
  <c r="W773" i="1"/>
  <c r="N773" i="1"/>
  <c r="L773" i="1"/>
  <c r="K773" i="1"/>
  <c r="J773" i="1"/>
  <c r="O773" i="1"/>
  <c r="R773" i="1" s="1"/>
  <c r="X772" i="1"/>
  <c r="W772" i="1"/>
  <c r="N772" i="1"/>
  <c r="L772" i="1"/>
  <c r="K772" i="1"/>
  <c r="J772" i="1"/>
  <c r="O772" i="1"/>
  <c r="R772" i="1" s="1"/>
  <c r="X771" i="1"/>
  <c r="W771" i="1"/>
  <c r="N771" i="1"/>
  <c r="L771" i="1"/>
  <c r="K771" i="1"/>
  <c r="J771" i="1"/>
  <c r="O771" i="1"/>
  <c r="R771" i="1" s="1"/>
  <c r="X770" i="1"/>
  <c r="W770" i="1"/>
  <c r="N770" i="1"/>
  <c r="L770" i="1"/>
  <c r="K770" i="1"/>
  <c r="J770" i="1"/>
  <c r="O770" i="1"/>
  <c r="X769" i="1"/>
  <c r="W769" i="1"/>
  <c r="N769" i="1"/>
  <c r="L769" i="1"/>
  <c r="K769" i="1"/>
  <c r="J769" i="1"/>
  <c r="O769" i="1"/>
  <c r="X768" i="1"/>
  <c r="W768" i="1"/>
  <c r="N768" i="1"/>
  <c r="L768" i="1"/>
  <c r="K768" i="1"/>
  <c r="J768" i="1"/>
  <c r="R768" i="1"/>
  <c r="X767" i="1"/>
  <c r="W767" i="1"/>
  <c r="N767" i="1"/>
  <c r="L767" i="1"/>
  <c r="K767" i="1"/>
  <c r="J767" i="1"/>
  <c r="X766" i="1"/>
  <c r="W766" i="1"/>
  <c r="N766" i="1"/>
  <c r="L766" i="1"/>
  <c r="K766" i="1"/>
  <c r="J766" i="1"/>
  <c r="R766" i="1"/>
  <c r="X765" i="1"/>
  <c r="W765" i="1"/>
  <c r="N765" i="1"/>
  <c r="L765" i="1"/>
  <c r="K765" i="1"/>
  <c r="J765" i="1"/>
  <c r="O765" i="1"/>
  <c r="X764" i="1"/>
  <c r="W764" i="1"/>
  <c r="N764" i="1"/>
  <c r="L764" i="1"/>
  <c r="K764" i="1"/>
  <c r="J764" i="1"/>
  <c r="O764" i="1"/>
  <c r="X763" i="1"/>
  <c r="W763" i="1"/>
  <c r="N763" i="1"/>
  <c r="L763" i="1"/>
  <c r="K763" i="1"/>
  <c r="J763" i="1"/>
  <c r="R763" i="1"/>
  <c r="X762" i="1"/>
  <c r="W762" i="1"/>
  <c r="N762" i="1"/>
  <c r="L762" i="1"/>
  <c r="K762" i="1"/>
  <c r="J762" i="1"/>
  <c r="R762" i="1"/>
  <c r="X761" i="1"/>
  <c r="W761" i="1"/>
  <c r="N761" i="1"/>
  <c r="L761" i="1"/>
  <c r="K761" i="1"/>
  <c r="J761" i="1"/>
  <c r="O761" i="1"/>
  <c r="X760" i="1"/>
  <c r="W760" i="1"/>
  <c r="N760" i="1"/>
  <c r="L760" i="1"/>
  <c r="K760" i="1"/>
  <c r="J760" i="1"/>
  <c r="R760" i="1"/>
  <c r="X759" i="1"/>
  <c r="W759" i="1"/>
  <c r="N759" i="1"/>
  <c r="L759" i="1"/>
  <c r="K759" i="1"/>
  <c r="J759" i="1"/>
  <c r="R759" i="1"/>
  <c r="X758" i="1"/>
  <c r="W758" i="1"/>
  <c r="N758" i="1"/>
  <c r="L758" i="1"/>
  <c r="K758" i="1"/>
  <c r="J758" i="1"/>
  <c r="O758" i="1"/>
  <c r="X757" i="1"/>
  <c r="W757" i="1"/>
  <c r="N757" i="1"/>
  <c r="L757" i="1"/>
  <c r="K757" i="1"/>
  <c r="J757" i="1"/>
  <c r="O757" i="1"/>
  <c r="R757" i="1" s="1"/>
  <c r="X756" i="1"/>
  <c r="W756" i="1"/>
  <c r="N756" i="1"/>
  <c r="L756" i="1"/>
  <c r="K756" i="1"/>
  <c r="J756" i="1"/>
  <c r="O756" i="1"/>
  <c r="R756" i="1" s="1"/>
  <c r="X755" i="1"/>
  <c r="W755" i="1"/>
  <c r="N755" i="1"/>
  <c r="L755" i="1"/>
  <c r="K755" i="1"/>
  <c r="J755" i="1"/>
  <c r="O755" i="1"/>
  <c r="R755" i="1" s="1"/>
  <c r="X754" i="1"/>
  <c r="W754" i="1"/>
  <c r="N754" i="1"/>
  <c r="L754" i="1"/>
  <c r="K754" i="1"/>
  <c r="J754" i="1"/>
  <c r="O754" i="1"/>
  <c r="R754" i="1" s="1"/>
  <c r="X753" i="1"/>
  <c r="W753" i="1"/>
  <c r="N753" i="1"/>
  <c r="L753" i="1"/>
  <c r="K753" i="1"/>
  <c r="J753" i="1"/>
  <c r="O753" i="1"/>
  <c r="X752" i="1"/>
  <c r="W752" i="1"/>
  <c r="N752" i="1"/>
  <c r="L752" i="1"/>
  <c r="K752" i="1"/>
  <c r="J752" i="1"/>
  <c r="O752" i="1"/>
  <c r="X751" i="1"/>
  <c r="W751" i="1"/>
  <c r="N751" i="1"/>
  <c r="L751" i="1"/>
  <c r="K751" i="1"/>
  <c r="J751" i="1"/>
  <c r="R751" i="1"/>
  <c r="X750" i="1"/>
  <c r="W750" i="1"/>
  <c r="N750" i="1"/>
  <c r="L750" i="1"/>
  <c r="K750" i="1"/>
  <c r="J750" i="1"/>
  <c r="R750" i="1"/>
  <c r="X749" i="1"/>
  <c r="W749" i="1"/>
  <c r="N749" i="1"/>
  <c r="L749" i="1"/>
  <c r="K749" i="1"/>
  <c r="J749" i="1"/>
  <c r="O749" i="1"/>
  <c r="R749" i="1" s="1"/>
  <c r="X748" i="1"/>
  <c r="W748" i="1"/>
  <c r="N748" i="1"/>
  <c r="L748" i="1"/>
  <c r="K748" i="1"/>
  <c r="J748" i="1"/>
  <c r="R748" i="1"/>
  <c r="X747" i="1"/>
  <c r="W747" i="1"/>
  <c r="N747" i="1"/>
  <c r="L747" i="1"/>
  <c r="K747" i="1"/>
  <c r="J747" i="1"/>
  <c r="O747" i="1"/>
  <c r="X746" i="1"/>
  <c r="W746" i="1"/>
  <c r="N746" i="1"/>
  <c r="L746" i="1"/>
  <c r="K746" i="1"/>
  <c r="J746" i="1"/>
  <c r="R746" i="1"/>
  <c r="X745" i="1"/>
  <c r="W745" i="1"/>
  <c r="N745" i="1"/>
  <c r="L745" i="1"/>
  <c r="K745" i="1"/>
  <c r="J745" i="1"/>
  <c r="O745" i="1"/>
  <c r="X744" i="1"/>
  <c r="W744" i="1"/>
  <c r="N744" i="1"/>
  <c r="L744" i="1"/>
  <c r="K744" i="1"/>
  <c r="J744" i="1"/>
  <c r="R744" i="1"/>
  <c r="X743" i="1"/>
  <c r="W743" i="1"/>
  <c r="N743" i="1"/>
  <c r="L743" i="1"/>
  <c r="K743" i="1"/>
  <c r="J743" i="1"/>
  <c r="R743" i="1"/>
  <c r="X742" i="1"/>
  <c r="W742" i="1"/>
  <c r="N742" i="1"/>
  <c r="L742" i="1"/>
  <c r="K742" i="1"/>
  <c r="J742" i="1"/>
  <c r="R742" i="1"/>
  <c r="X741" i="1"/>
  <c r="W741" i="1"/>
  <c r="N741" i="1"/>
  <c r="L741" i="1"/>
  <c r="K741" i="1"/>
  <c r="J741" i="1"/>
  <c r="O741" i="1"/>
  <c r="X740" i="1"/>
  <c r="W740" i="1"/>
  <c r="N740" i="1"/>
  <c r="L740" i="1"/>
  <c r="K740" i="1"/>
  <c r="J740" i="1"/>
  <c r="R740" i="1"/>
  <c r="X739" i="1"/>
  <c r="W739" i="1"/>
  <c r="N739" i="1"/>
  <c r="L739" i="1"/>
  <c r="K739" i="1"/>
  <c r="J739" i="1"/>
  <c r="R739" i="1"/>
  <c r="X738" i="1"/>
  <c r="W738" i="1"/>
  <c r="N738" i="1"/>
  <c r="L738" i="1"/>
  <c r="K738" i="1"/>
  <c r="J738" i="1"/>
  <c r="O738" i="1"/>
  <c r="R738" i="1" s="1"/>
  <c r="X737" i="1"/>
  <c r="W737" i="1"/>
  <c r="N737" i="1"/>
  <c r="L737" i="1"/>
  <c r="K737" i="1"/>
  <c r="J737" i="1"/>
  <c r="O737" i="1"/>
  <c r="R737" i="1" s="1"/>
  <c r="X736" i="1"/>
  <c r="W736" i="1"/>
  <c r="N736" i="1"/>
  <c r="L736" i="1"/>
  <c r="K736" i="1"/>
  <c r="J736" i="1"/>
  <c r="O736" i="1"/>
  <c r="X735" i="1"/>
  <c r="W735" i="1"/>
  <c r="N735" i="1"/>
  <c r="L735" i="1"/>
  <c r="K735" i="1"/>
  <c r="J735" i="1"/>
  <c r="I735" i="1"/>
  <c r="O735" i="1"/>
  <c r="R735" i="1" s="1"/>
  <c r="X733" i="1"/>
  <c r="W733" i="1"/>
  <c r="N733" i="1"/>
  <c r="L733" i="1"/>
  <c r="K733" i="1"/>
  <c r="J733" i="1"/>
  <c r="I733" i="1"/>
  <c r="O733" i="1"/>
  <c r="X732" i="1"/>
  <c r="W732" i="1"/>
  <c r="N732" i="1"/>
  <c r="L732" i="1"/>
  <c r="K732" i="1"/>
  <c r="J732" i="1"/>
  <c r="I732" i="1"/>
  <c r="O732" i="1"/>
  <c r="X731" i="1"/>
  <c r="W731" i="1"/>
  <c r="N731" i="1"/>
  <c r="L731" i="1"/>
  <c r="K731" i="1"/>
  <c r="J731" i="1"/>
  <c r="I731" i="1"/>
  <c r="O731" i="1"/>
  <c r="R731" i="1" s="1"/>
  <c r="X730" i="1"/>
  <c r="W730" i="1"/>
  <c r="N730" i="1"/>
  <c r="L730" i="1"/>
  <c r="K730" i="1"/>
  <c r="J730" i="1"/>
  <c r="I730" i="1"/>
  <c r="O730" i="1"/>
  <c r="R730" i="1" s="1"/>
  <c r="X729" i="1"/>
  <c r="W729" i="1"/>
  <c r="N729" i="1"/>
  <c r="L729" i="1"/>
  <c r="K729" i="1"/>
  <c r="J729" i="1"/>
  <c r="I729" i="1"/>
  <c r="O729" i="1"/>
  <c r="X728" i="1"/>
  <c r="W728" i="1"/>
  <c r="N728" i="1"/>
  <c r="L728" i="1"/>
  <c r="K728" i="1"/>
  <c r="J728" i="1"/>
  <c r="I728" i="1"/>
  <c r="O728" i="1"/>
  <c r="X727" i="1"/>
  <c r="W727" i="1"/>
  <c r="N727" i="1"/>
  <c r="L727" i="1"/>
  <c r="K727" i="1"/>
  <c r="J727" i="1"/>
  <c r="I727" i="1"/>
  <c r="O727" i="1"/>
  <c r="R727" i="1" s="1"/>
  <c r="X726" i="1"/>
  <c r="W726" i="1"/>
  <c r="N726" i="1"/>
  <c r="L726" i="1"/>
  <c r="K726" i="1"/>
  <c r="J726" i="1"/>
  <c r="I726" i="1"/>
  <c r="O726" i="1"/>
  <c r="R726" i="1" s="1"/>
  <c r="X725" i="1"/>
  <c r="W725" i="1"/>
  <c r="N725" i="1"/>
  <c r="L725" i="1"/>
  <c r="K725" i="1"/>
  <c r="J725" i="1"/>
  <c r="I725" i="1"/>
  <c r="O725" i="1"/>
  <c r="P725" i="1" s="1"/>
  <c r="X724" i="1"/>
  <c r="W724" i="1"/>
  <c r="N724" i="1"/>
  <c r="L724" i="1"/>
  <c r="K724" i="1"/>
  <c r="J724" i="1"/>
  <c r="I724" i="1"/>
  <c r="O724" i="1"/>
  <c r="P724" i="1" s="1"/>
  <c r="X723" i="1"/>
  <c r="W723" i="1"/>
  <c r="N723" i="1"/>
  <c r="L723" i="1"/>
  <c r="K723" i="1"/>
  <c r="J723" i="1"/>
  <c r="I723" i="1"/>
  <c r="O723" i="1"/>
  <c r="R723" i="1" s="1"/>
  <c r="X722" i="1"/>
  <c r="W722" i="1"/>
  <c r="N722" i="1"/>
  <c r="L722" i="1"/>
  <c r="K722" i="1"/>
  <c r="J722" i="1"/>
  <c r="I722" i="1"/>
  <c r="O722" i="1"/>
  <c r="R722" i="1" s="1"/>
  <c r="X721" i="1"/>
  <c r="W721" i="1"/>
  <c r="N721" i="1"/>
  <c r="L721" i="1"/>
  <c r="K721" i="1"/>
  <c r="J721" i="1"/>
  <c r="I721" i="1"/>
  <c r="O721" i="1"/>
  <c r="X720" i="1"/>
  <c r="W720" i="1"/>
  <c r="N720" i="1"/>
  <c r="L720" i="1"/>
  <c r="K720" i="1"/>
  <c r="J720" i="1"/>
  <c r="I720" i="1"/>
  <c r="O720" i="1"/>
  <c r="X719" i="1"/>
  <c r="W719" i="1"/>
  <c r="N719" i="1"/>
  <c r="L719" i="1"/>
  <c r="K719" i="1"/>
  <c r="J719" i="1"/>
  <c r="I719" i="1"/>
  <c r="O719" i="1"/>
  <c r="R719" i="1" s="1"/>
  <c r="X718" i="1"/>
  <c r="W718" i="1"/>
  <c r="N718" i="1"/>
  <c r="L718" i="1"/>
  <c r="K718" i="1"/>
  <c r="J718" i="1"/>
  <c r="I718" i="1"/>
  <c r="O718" i="1"/>
  <c r="R718" i="1" s="1"/>
  <c r="X717" i="1"/>
  <c r="W717" i="1"/>
  <c r="N717" i="1"/>
  <c r="L717" i="1"/>
  <c r="K717" i="1"/>
  <c r="J717" i="1"/>
  <c r="I717" i="1"/>
  <c r="O717" i="1"/>
  <c r="X716" i="1"/>
  <c r="W716" i="1"/>
  <c r="N716" i="1"/>
  <c r="L716" i="1"/>
  <c r="K716" i="1"/>
  <c r="J716" i="1"/>
  <c r="I716" i="1"/>
  <c r="O716" i="1"/>
  <c r="X715" i="1"/>
  <c r="W715" i="1"/>
  <c r="N715" i="1"/>
  <c r="L715" i="1"/>
  <c r="K715" i="1"/>
  <c r="J715" i="1"/>
  <c r="I715" i="1"/>
  <c r="O715" i="1"/>
  <c r="R715" i="1" s="1"/>
  <c r="X714" i="1"/>
  <c r="W714" i="1"/>
  <c r="N714" i="1"/>
  <c r="L714" i="1"/>
  <c r="K714" i="1"/>
  <c r="J714" i="1"/>
  <c r="I714" i="1"/>
  <c r="O714" i="1"/>
  <c r="R714" i="1" s="1"/>
  <c r="X713" i="1"/>
  <c r="W713" i="1"/>
  <c r="N713" i="1"/>
  <c r="L713" i="1"/>
  <c r="K713" i="1"/>
  <c r="J713" i="1"/>
  <c r="I713" i="1"/>
  <c r="O713" i="1"/>
  <c r="X712" i="1"/>
  <c r="W712" i="1"/>
  <c r="N712" i="1"/>
  <c r="L712" i="1"/>
  <c r="K712" i="1"/>
  <c r="J712" i="1"/>
  <c r="I712" i="1"/>
  <c r="O712" i="1"/>
  <c r="X711" i="1"/>
  <c r="W711" i="1"/>
  <c r="N711" i="1"/>
  <c r="L711" i="1"/>
  <c r="K711" i="1"/>
  <c r="J711" i="1"/>
  <c r="I711" i="1"/>
  <c r="O711" i="1"/>
  <c r="R711" i="1" s="1"/>
  <c r="X710" i="1"/>
  <c r="W710" i="1"/>
  <c r="N710" i="1"/>
  <c r="L710" i="1"/>
  <c r="K710" i="1"/>
  <c r="J710" i="1"/>
  <c r="I710" i="1"/>
  <c r="O710" i="1"/>
  <c r="R710" i="1" s="1"/>
  <c r="X709" i="1"/>
  <c r="W709" i="1"/>
  <c r="N709" i="1"/>
  <c r="L709" i="1"/>
  <c r="K709" i="1"/>
  <c r="J709" i="1"/>
  <c r="I709" i="1"/>
  <c r="O709" i="1"/>
  <c r="X708" i="1"/>
  <c r="W708" i="1"/>
  <c r="N708" i="1"/>
  <c r="L708" i="1"/>
  <c r="K708" i="1"/>
  <c r="J708" i="1"/>
  <c r="I708" i="1"/>
  <c r="O708" i="1"/>
  <c r="X707" i="1"/>
  <c r="W707" i="1"/>
  <c r="N707" i="1"/>
  <c r="L707" i="1"/>
  <c r="K707" i="1"/>
  <c r="J707" i="1"/>
  <c r="I707" i="1"/>
  <c r="O707" i="1"/>
  <c r="R707" i="1" s="1"/>
  <c r="X706" i="1"/>
  <c r="W706" i="1"/>
  <c r="N706" i="1"/>
  <c r="L706" i="1"/>
  <c r="K706" i="1"/>
  <c r="J706" i="1"/>
  <c r="I706" i="1"/>
  <c r="O706" i="1"/>
  <c r="R706" i="1" s="1"/>
  <c r="X705" i="1"/>
  <c r="W705" i="1"/>
  <c r="N705" i="1"/>
  <c r="L705" i="1"/>
  <c r="K705" i="1"/>
  <c r="J705" i="1"/>
  <c r="I705" i="1"/>
  <c r="O705" i="1"/>
  <c r="X704" i="1"/>
  <c r="W704" i="1"/>
  <c r="N704" i="1"/>
  <c r="L704" i="1"/>
  <c r="K704" i="1"/>
  <c r="J704" i="1"/>
  <c r="I704" i="1"/>
  <c r="O704" i="1"/>
  <c r="X703" i="1"/>
  <c r="W703" i="1"/>
  <c r="N703" i="1"/>
  <c r="L703" i="1"/>
  <c r="K703" i="1"/>
  <c r="J703" i="1"/>
  <c r="I703" i="1"/>
  <c r="O703" i="1"/>
  <c r="R703" i="1" s="1"/>
  <c r="X702" i="1"/>
  <c r="W702" i="1"/>
  <c r="N702" i="1"/>
  <c r="L702" i="1"/>
  <c r="K702" i="1"/>
  <c r="J702" i="1"/>
  <c r="I702" i="1"/>
  <c r="O702" i="1"/>
  <c r="R702" i="1" s="1"/>
  <c r="X701" i="1"/>
  <c r="W701" i="1"/>
  <c r="N701" i="1"/>
  <c r="L701" i="1"/>
  <c r="K701" i="1"/>
  <c r="J701" i="1"/>
  <c r="I701" i="1"/>
  <c r="O701" i="1"/>
  <c r="P701" i="1" s="1"/>
  <c r="X700" i="1"/>
  <c r="W700" i="1"/>
  <c r="N700" i="1"/>
  <c r="L700" i="1"/>
  <c r="K700" i="1"/>
  <c r="J700" i="1"/>
  <c r="I700" i="1"/>
  <c r="O700" i="1"/>
  <c r="P700" i="1" s="1"/>
  <c r="X699" i="1"/>
  <c r="W699" i="1"/>
  <c r="N699" i="1"/>
  <c r="L699" i="1"/>
  <c r="K699" i="1"/>
  <c r="J699" i="1"/>
  <c r="I699" i="1"/>
  <c r="O699" i="1"/>
  <c r="R699" i="1" s="1"/>
  <c r="X698" i="1"/>
  <c r="W698" i="1"/>
  <c r="N698" i="1"/>
  <c r="L698" i="1"/>
  <c r="K698" i="1"/>
  <c r="J698" i="1"/>
  <c r="I698" i="1"/>
  <c r="O698" i="1"/>
  <c r="R698" i="1" s="1"/>
  <c r="X696" i="1"/>
  <c r="W696" i="1"/>
  <c r="N696" i="1"/>
  <c r="L696" i="1"/>
  <c r="K696" i="1"/>
  <c r="J696" i="1"/>
  <c r="I696" i="1"/>
  <c r="O696" i="1"/>
  <c r="X695" i="1"/>
  <c r="W695" i="1"/>
  <c r="N695" i="1"/>
  <c r="L695" i="1"/>
  <c r="K695" i="1"/>
  <c r="J695" i="1"/>
  <c r="I695" i="1"/>
  <c r="O695" i="1"/>
  <c r="X694" i="1"/>
  <c r="W694" i="1"/>
  <c r="N694" i="1"/>
  <c r="L694" i="1"/>
  <c r="K694" i="1"/>
  <c r="J694" i="1"/>
  <c r="I694" i="1"/>
  <c r="O694" i="1"/>
  <c r="R694" i="1" s="1"/>
  <c r="X693" i="1"/>
  <c r="W693" i="1"/>
  <c r="N693" i="1"/>
  <c r="L693" i="1"/>
  <c r="K693" i="1"/>
  <c r="J693" i="1"/>
  <c r="I693" i="1"/>
  <c r="O693" i="1"/>
  <c r="R693" i="1" s="1"/>
  <c r="X692" i="1"/>
  <c r="W692" i="1"/>
  <c r="N692" i="1"/>
  <c r="L692" i="1"/>
  <c r="K692" i="1"/>
  <c r="J692" i="1"/>
  <c r="I692" i="1"/>
  <c r="O692" i="1"/>
  <c r="X691" i="1"/>
  <c r="W691" i="1"/>
  <c r="N691" i="1"/>
  <c r="L691" i="1"/>
  <c r="K691" i="1"/>
  <c r="J691" i="1"/>
  <c r="I691" i="1"/>
  <c r="O691" i="1"/>
  <c r="X690" i="1"/>
  <c r="W690" i="1"/>
  <c r="N690" i="1"/>
  <c r="L690" i="1"/>
  <c r="K690" i="1"/>
  <c r="J690" i="1"/>
  <c r="I690" i="1"/>
  <c r="O690" i="1"/>
  <c r="R690" i="1" s="1"/>
  <c r="X689" i="1"/>
  <c r="W689" i="1"/>
  <c r="N689" i="1"/>
  <c r="L689" i="1"/>
  <c r="K689" i="1"/>
  <c r="J689" i="1"/>
  <c r="I689" i="1"/>
  <c r="O689" i="1"/>
  <c r="R689" i="1" s="1"/>
  <c r="X688" i="1"/>
  <c r="W688" i="1"/>
  <c r="N688" i="1"/>
  <c r="L688" i="1"/>
  <c r="K688" i="1"/>
  <c r="J688" i="1"/>
  <c r="I688" i="1"/>
  <c r="O688" i="1"/>
  <c r="R688" i="1" s="1"/>
  <c r="X687" i="1"/>
  <c r="W687" i="1"/>
  <c r="N687" i="1"/>
  <c r="L687" i="1"/>
  <c r="K687" i="1"/>
  <c r="J687" i="1"/>
  <c r="I687" i="1"/>
  <c r="O687" i="1"/>
  <c r="R687" i="1" s="1"/>
  <c r="X686" i="1"/>
  <c r="W686" i="1"/>
  <c r="N686" i="1"/>
  <c r="L686" i="1"/>
  <c r="K686" i="1"/>
  <c r="J686" i="1"/>
  <c r="I686" i="1"/>
  <c r="O686" i="1"/>
  <c r="R686" i="1" s="1"/>
  <c r="X685" i="1"/>
  <c r="W685" i="1"/>
  <c r="N685" i="1"/>
  <c r="L685" i="1"/>
  <c r="K685" i="1"/>
  <c r="J685" i="1"/>
  <c r="I685" i="1"/>
  <c r="O685" i="1"/>
  <c r="X684" i="1"/>
  <c r="W684" i="1"/>
  <c r="N684" i="1"/>
  <c r="L684" i="1"/>
  <c r="K684" i="1"/>
  <c r="J684" i="1"/>
  <c r="I684" i="1"/>
  <c r="O684" i="1"/>
  <c r="X683" i="1"/>
  <c r="W683" i="1"/>
  <c r="N683" i="1"/>
  <c r="L683" i="1"/>
  <c r="K683" i="1"/>
  <c r="J683" i="1"/>
  <c r="I683" i="1"/>
  <c r="O683" i="1"/>
  <c r="R683" i="1" s="1"/>
  <c r="X682" i="1"/>
  <c r="W682" i="1"/>
  <c r="N682" i="1"/>
  <c r="L682" i="1"/>
  <c r="K682" i="1"/>
  <c r="J682" i="1"/>
  <c r="I682" i="1"/>
  <c r="O682" i="1"/>
  <c r="R682" i="1" s="1"/>
  <c r="X681" i="1"/>
  <c r="W681" i="1"/>
  <c r="N681" i="1"/>
  <c r="L681" i="1"/>
  <c r="K681" i="1"/>
  <c r="J681" i="1"/>
  <c r="I681" i="1"/>
  <c r="O681" i="1"/>
  <c r="X680" i="1"/>
  <c r="W680" i="1"/>
  <c r="N680" i="1"/>
  <c r="L680" i="1"/>
  <c r="K680" i="1"/>
  <c r="J680" i="1"/>
  <c r="I680" i="1"/>
  <c r="O680" i="1"/>
  <c r="X679" i="1"/>
  <c r="W679" i="1"/>
  <c r="N679" i="1"/>
  <c r="L679" i="1"/>
  <c r="K679" i="1"/>
  <c r="J679" i="1"/>
  <c r="I679" i="1"/>
  <c r="O679" i="1"/>
  <c r="R679" i="1" s="1"/>
  <c r="X678" i="1"/>
  <c r="W678" i="1"/>
  <c r="N678" i="1"/>
  <c r="L678" i="1"/>
  <c r="K678" i="1"/>
  <c r="J678" i="1"/>
  <c r="I678" i="1"/>
  <c r="O678" i="1"/>
  <c r="R678" i="1" s="1"/>
  <c r="X677" i="1"/>
  <c r="W677" i="1"/>
  <c r="N677" i="1"/>
  <c r="L677" i="1"/>
  <c r="K677" i="1"/>
  <c r="J677" i="1"/>
  <c r="I677" i="1"/>
  <c r="O677" i="1"/>
  <c r="X676" i="1"/>
  <c r="W676" i="1"/>
  <c r="N676" i="1"/>
  <c r="L676" i="1"/>
  <c r="K676" i="1"/>
  <c r="J676" i="1"/>
  <c r="I676" i="1"/>
  <c r="O676" i="1"/>
  <c r="X675" i="1"/>
  <c r="W675" i="1"/>
  <c r="N675" i="1"/>
  <c r="L675" i="1"/>
  <c r="K675" i="1"/>
  <c r="J675" i="1"/>
  <c r="I675" i="1"/>
  <c r="O675" i="1"/>
  <c r="R675" i="1" s="1"/>
  <c r="X674" i="1"/>
  <c r="W674" i="1"/>
  <c r="N674" i="1"/>
  <c r="L674" i="1"/>
  <c r="K674" i="1"/>
  <c r="J674" i="1"/>
  <c r="I674" i="1"/>
  <c r="O674" i="1"/>
  <c r="R674" i="1" s="1"/>
  <c r="X673" i="1"/>
  <c r="W673" i="1"/>
  <c r="N673" i="1"/>
  <c r="L673" i="1"/>
  <c r="K673" i="1"/>
  <c r="J673" i="1"/>
  <c r="I673" i="1"/>
  <c r="O673" i="1"/>
  <c r="X672" i="1"/>
  <c r="W672" i="1"/>
  <c r="N672" i="1"/>
  <c r="L672" i="1"/>
  <c r="K672" i="1"/>
  <c r="J672" i="1"/>
  <c r="I672" i="1"/>
  <c r="O672" i="1"/>
  <c r="X671" i="1"/>
  <c r="W671" i="1"/>
  <c r="N671" i="1"/>
  <c r="L671" i="1"/>
  <c r="K671" i="1"/>
  <c r="J671" i="1"/>
  <c r="I671" i="1"/>
  <c r="O671" i="1"/>
  <c r="R671" i="1" s="1"/>
  <c r="X670" i="1"/>
  <c r="W670" i="1"/>
  <c r="N670" i="1"/>
  <c r="L670" i="1"/>
  <c r="K670" i="1"/>
  <c r="J670" i="1"/>
  <c r="I670" i="1"/>
  <c r="O670" i="1"/>
  <c r="R670" i="1" s="1"/>
  <c r="X669" i="1"/>
  <c r="W669" i="1"/>
  <c r="N669" i="1"/>
  <c r="L669" i="1"/>
  <c r="K669" i="1"/>
  <c r="J669" i="1"/>
  <c r="I669" i="1"/>
  <c r="O669" i="1"/>
  <c r="X668" i="1"/>
  <c r="W668" i="1"/>
  <c r="N668" i="1"/>
  <c r="L668" i="1"/>
  <c r="K668" i="1"/>
  <c r="J668" i="1"/>
  <c r="I668" i="1"/>
  <c r="O668" i="1"/>
  <c r="X667" i="1"/>
  <c r="W667" i="1"/>
  <c r="N667" i="1"/>
  <c r="L667" i="1"/>
  <c r="K667" i="1"/>
  <c r="J667" i="1"/>
  <c r="I667" i="1"/>
  <c r="O667" i="1"/>
  <c r="R667" i="1" s="1"/>
  <c r="X666" i="1"/>
  <c r="W666" i="1"/>
  <c r="N666" i="1"/>
  <c r="L666" i="1"/>
  <c r="K666" i="1"/>
  <c r="J666" i="1"/>
  <c r="I666" i="1"/>
  <c r="O666" i="1"/>
  <c r="R666" i="1" s="1"/>
  <c r="X665" i="1"/>
  <c r="W665" i="1"/>
  <c r="N665" i="1"/>
  <c r="L665" i="1"/>
  <c r="K665" i="1"/>
  <c r="J665" i="1"/>
  <c r="I665" i="1"/>
  <c r="O665" i="1"/>
  <c r="X664" i="1"/>
  <c r="W664" i="1"/>
  <c r="N664" i="1"/>
  <c r="L664" i="1"/>
  <c r="K664" i="1"/>
  <c r="J664" i="1"/>
  <c r="I664" i="1"/>
  <c r="O664" i="1"/>
  <c r="P664" i="1" s="1"/>
  <c r="X663" i="1"/>
  <c r="W663" i="1"/>
  <c r="N663" i="1"/>
  <c r="L663" i="1"/>
  <c r="K663" i="1"/>
  <c r="J663" i="1"/>
  <c r="I663" i="1"/>
  <c r="O663" i="1"/>
  <c r="R663" i="1" s="1"/>
  <c r="X662" i="1"/>
  <c r="W662" i="1"/>
  <c r="N662" i="1"/>
  <c r="L662" i="1"/>
  <c r="K662" i="1"/>
  <c r="J662" i="1"/>
  <c r="I662" i="1"/>
  <c r="O662" i="1"/>
  <c r="R662" i="1" s="1"/>
  <c r="X661" i="1"/>
  <c r="W661" i="1"/>
  <c r="N661" i="1"/>
  <c r="L661" i="1"/>
  <c r="K661" i="1"/>
  <c r="J661" i="1"/>
  <c r="I661" i="1"/>
  <c r="O661" i="1"/>
  <c r="X660" i="1"/>
  <c r="W660" i="1"/>
  <c r="N660" i="1"/>
  <c r="L660" i="1"/>
  <c r="K660" i="1"/>
  <c r="J660" i="1"/>
  <c r="I660" i="1"/>
  <c r="O660" i="1"/>
  <c r="R660" i="1" s="1"/>
  <c r="X659" i="1"/>
  <c r="W659" i="1"/>
  <c r="N659" i="1"/>
  <c r="L659" i="1"/>
  <c r="K659" i="1"/>
  <c r="J659" i="1"/>
  <c r="I659" i="1"/>
  <c r="O659" i="1"/>
  <c r="R659" i="1" s="1"/>
  <c r="X658" i="1"/>
  <c r="W658" i="1"/>
  <c r="N658" i="1"/>
  <c r="L658" i="1"/>
  <c r="K658" i="1"/>
  <c r="J658" i="1"/>
  <c r="O658" i="1"/>
  <c r="R658" i="1" s="1"/>
  <c r="X657" i="1"/>
  <c r="W657" i="1"/>
  <c r="N657" i="1"/>
  <c r="L657" i="1"/>
  <c r="K657" i="1"/>
  <c r="J657" i="1"/>
  <c r="O657" i="1"/>
  <c r="R657" i="1" s="1"/>
  <c r="X656" i="1"/>
  <c r="W656" i="1"/>
  <c r="N656" i="1"/>
  <c r="L656" i="1"/>
  <c r="K656" i="1"/>
  <c r="J656" i="1"/>
  <c r="O656" i="1"/>
  <c r="R656" i="1" s="1"/>
  <c r="X655" i="1"/>
  <c r="W655" i="1"/>
  <c r="N655" i="1"/>
  <c r="L655" i="1"/>
  <c r="K655" i="1"/>
  <c r="J655" i="1"/>
  <c r="O655" i="1"/>
  <c r="X654" i="1"/>
  <c r="W654" i="1"/>
  <c r="N654" i="1"/>
  <c r="L654" i="1"/>
  <c r="K654" i="1"/>
  <c r="J654" i="1"/>
  <c r="O654" i="1"/>
  <c r="R654" i="1" s="1"/>
  <c r="X653" i="1"/>
  <c r="W653" i="1"/>
  <c r="N653" i="1"/>
  <c r="L653" i="1"/>
  <c r="K653" i="1"/>
  <c r="J653" i="1"/>
  <c r="O653" i="1"/>
  <c r="R653" i="1" s="1"/>
  <c r="X652" i="1"/>
  <c r="W652" i="1"/>
  <c r="N652" i="1"/>
  <c r="L652" i="1"/>
  <c r="K652" i="1"/>
  <c r="J652" i="1"/>
  <c r="O652" i="1"/>
  <c r="R652" i="1" s="1"/>
  <c r="X651" i="1"/>
  <c r="W651" i="1"/>
  <c r="N651" i="1"/>
  <c r="L651" i="1"/>
  <c r="K651" i="1"/>
  <c r="J651" i="1"/>
  <c r="O651" i="1"/>
  <c r="X650" i="1"/>
  <c r="W650" i="1"/>
  <c r="N650" i="1"/>
  <c r="L650" i="1"/>
  <c r="K650" i="1"/>
  <c r="J650" i="1"/>
  <c r="O650" i="1"/>
  <c r="R650" i="1" s="1"/>
  <c r="X649" i="1"/>
  <c r="W649" i="1"/>
  <c r="N649" i="1"/>
  <c r="L649" i="1"/>
  <c r="K649" i="1"/>
  <c r="J649" i="1"/>
  <c r="O649" i="1"/>
  <c r="X648" i="1"/>
  <c r="W648" i="1"/>
  <c r="N648" i="1"/>
  <c r="L648" i="1"/>
  <c r="K648" i="1"/>
  <c r="J648" i="1"/>
  <c r="O648" i="1"/>
  <c r="R648" i="1" s="1"/>
  <c r="X647" i="1"/>
  <c r="W647" i="1"/>
  <c r="N647" i="1"/>
  <c r="L647" i="1"/>
  <c r="K647" i="1"/>
  <c r="J647" i="1"/>
  <c r="O647" i="1"/>
  <c r="X646" i="1"/>
  <c r="W646" i="1"/>
  <c r="Q646" i="1"/>
  <c r="N646" i="1"/>
  <c r="L646" i="1"/>
  <c r="K646" i="1"/>
  <c r="J646" i="1"/>
  <c r="O646" i="1"/>
  <c r="R646" i="1" s="1"/>
  <c r="X645" i="1"/>
  <c r="W645" i="1"/>
  <c r="N645" i="1"/>
  <c r="L645" i="1"/>
  <c r="K645" i="1"/>
  <c r="J645" i="1"/>
  <c r="O645" i="1"/>
  <c r="X644" i="1"/>
  <c r="W644" i="1"/>
  <c r="N644" i="1"/>
  <c r="L644" i="1"/>
  <c r="K644" i="1"/>
  <c r="J644" i="1"/>
  <c r="O644" i="1"/>
  <c r="R644" i="1" s="1"/>
  <c r="X643" i="1"/>
  <c r="W643" i="1"/>
  <c r="N643" i="1"/>
  <c r="L643" i="1"/>
  <c r="K643" i="1"/>
  <c r="J643" i="1"/>
  <c r="O643" i="1"/>
  <c r="R643" i="1" s="1"/>
  <c r="X642" i="1"/>
  <c r="W642" i="1"/>
  <c r="N642" i="1"/>
  <c r="L642" i="1"/>
  <c r="K642" i="1"/>
  <c r="J642" i="1"/>
  <c r="O642" i="1"/>
  <c r="X641" i="1"/>
  <c r="W641" i="1"/>
  <c r="N641" i="1"/>
  <c r="L641" i="1"/>
  <c r="K641" i="1"/>
  <c r="J641" i="1"/>
  <c r="O641" i="1"/>
  <c r="R641" i="1" s="1"/>
  <c r="X640" i="1"/>
  <c r="W640" i="1"/>
  <c r="N640" i="1"/>
  <c r="L640" i="1"/>
  <c r="K640" i="1"/>
  <c r="J640" i="1"/>
  <c r="O640" i="1"/>
  <c r="X639" i="1"/>
  <c r="W639" i="1"/>
  <c r="N639" i="1"/>
  <c r="L639" i="1"/>
  <c r="K639" i="1"/>
  <c r="J639" i="1"/>
  <c r="O639" i="1"/>
  <c r="P639" i="1" s="1"/>
  <c r="X638" i="1"/>
  <c r="W638" i="1"/>
  <c r="N638" i="1"/>
  <c r="L638" i="1"/>
  <c r="K638" i="1"/>
  <c r="J638" i="1"/>
  <c r="O638" i="1"/>
  <c r="R638" i="1" s="1"/>
  <c r="X637" i="1"/>
  <c r="W637" i="1"/>
  <c r="N637" i="1"/>
  <c r="L637" i="1"/>
  <c r="K637" i="1"/>
  <c r="J637" i="1"/>
  <c r="O637" i="1"/>
  <c r="X636" i="1"/>
  <c r="W636" i="1"/>
  <c r="N636" i="1"/>
  <c r="L636" i="1"/>
  <c r="K636" i="1"/>
  <c r="J636" i="1"/>
  <c r="O636" i="1"/>
  <c r="X635" i="1"/>
  <c r="W635" i="1"/>
  <c r="N635" i="1"/>
  <c r="L635" i="1"/>
  <c r="K635" i="1"/>
  <c r="J635" i="1"/>
  <c r="O635" i="1"/>
  <c r="X634" i="1"/>
  <c r="W634" i="1"/>
  <c r="N634" i="1"/>
  <c r="L634" i="1"/>
  <c r="K634" i="1"/>
  <c r="J634" i="1"/>
  <c r="O634" i="1"/>
  <c r="X633" i="1"/>
  <c r="W633" i="1"/>
  <c r="N633" i="1"/>
  <c r="L633" i="1"/>
  <c r="K633" i="1"/>
  <c r="J633" i="1"/>
  <c r="R633" i="1"/>
  <c r="X632" i="1"/>
  <c r="W632" i="1"/>
  <c r="N632" i="1"/>
  <c r="L632" i="1"/>
  <c r="K632" i="1"/>
  <c r="J632" i="1"/>
  <c r="O632" i="1"/>
  <c r="X631" i="1"/>
  <c r="W631" i="1"/>
  <c r="N631" i="1"/>
  <c r="L631" i="1"/>
  <c r="K631" i="1"/>
  <c r="J631" i="1"/>
  <c r="O631" i="1"/>
  <c r="X630" i="1"/>
  <c r="W630" i="1"/>
  <c r="N630" i="1"/>
  <c r="L630" i="1"/>
  <c r="K630" i="1"/>
  <c r="J630" i="1"/>
  <c r="R630" i="1"/>
  <c r="X629" i="1"/>
  <c r="W629" i="1"/>
  <c r="N629" i="1"/>
  <c r="L629" i="1"/>
  <c r="K629" i="1"/>
  <c r="J629" i="1"/>
  <c r="O629" i="1"/>
  <c r="X628" i="1"/>
  <c r="W628" i="1"/>
  <c r="N628" i="1"/>
  <c r="L628" i="1"/>
  <c r="K628" i="1"/>
  <c r="J628" i="1"/>
  <c r="O628" i="1"/>
  <c r="X627" i="1"/>
  <c r="W627" i="1"/>
  <c r="N627" i="1"/>
  <c r="L627" i="1"/>
  <c r="K627" i="1"/>
  <c r="J627" i="1"/>
  <c r="O627" i="1"/>
  <c r="X626" i="1"/>
  <c r="W626" i="1"/>
  <c r="N626" i="1"/>
  <c r="L626" i="1"/>
  <c r="K626" i="1"/>
  <c r="J626" i="1"/>
  <c r="O626" i="1"/>
  <c r="P626" i="1" s="1"/>
  <c r="X625" i="1"/>
  <c r="W625" i="1"/>
  <c r="N625" i="1"/>
  <c r="L625" i="1"/>
  <c r="K625" i="1"/>
  <c r="J625" i="1"/>
  <c r="O625" i="1"/>
  <c r="X624" i="1"/>
  <c r="W624" i="1"/>
  <c r="N624" i="1"/>
  <c r="L624" i="1"/>
  <c r="K624" i="1"/>
  <c r="J624" i="1"/>
  <c r="R624" i="1"/>
  <c r="X623" i="1"/>
  <c r="W623" i="1"/>
  <c r="N623" i="1"/>
  <c r="L623" i="1"/>
  <c r="K623" i="1"/>
  <c r="J623" i="1"/>
  <c r="O623" i="1"/>
  <c r="X622" i="1"/>
  <c r="W622" i="1"/>
  <c r="N622" i="1"/>
  <c r="L622" i="1"/>
  <c r="K622" i="1"/>
  <c r="J622" i="1"/>
  <c r="O622" i="1"/>
  <c r="P622" i="1" s="1"/>
  <c r="X621" i="1"/>
  <c r="W621" i="1"/>
  <c r="N621" i="1"/>
  <c r="L621" i="1"/>
  <c r="K621" i="1"/>
  <c r="J621" i="1"/>
  <c r="O621" i="1"/>
  <c r="X620" i="1"/>
  <c r="W620" i="1"/>
  <c r="N620" i="1"/>
  <c r="L620" i="1"/>
  <c r="K620" i="1"/>
  <c r="J620" i="1"/>
  <c r="O620" i="1"/>
  <c r="X619" i="1"/>
  <c r="W619" i="1"/>
  <c r="N619" i="1"/>
  <c r="L619" i="1"/>
  <c r="K619" i="1"/>
  <c r="J619" i="1"/>
  <c r="O619" i="1"/>
  <c r="X618" i="1"/>
  <c r="W618" i="1"/>
  <c r="N618" i="1"/>
  <c r="L618" i="1"/>
  <c r="K618" i="1"/>
  <c r="J618" i="1"/>
  <c r="O618" i="1"/>
  <c r="X617" i="1"/>
  <c r="W617" i="1"/>
  <c r="N617" i="1"/>
  <c r="L617" i="1"/>
  <c r="K617" i="1"/>
  <c r="J617" i="1"/>
  <c r="O617" i="1"/>
  <c r="X616" i="1"/>
  <c r="W616" i="1"/>
  <c r="N616" i="1"/>
  <c r="L616" i="1"/>
  <c r="K616" i="1"/>
  <c r="J616" i="1"/>
  <c r="R616" i="1"/>
  <c r="X615" i="1"/>
  <c r="W615" i="1"/>
  <c r="N615" i="1"/>
  <c r="L615" i="1"/>
  <c r="K615" i="1"/>
  <c r="J615" i="1"/>
  <c r="R615" i="1"/>
  <c r="X614" i="1"/>
  <c r="W614" i="1"/>
  <c r="N614" i="1"/>
  <c r="L614" i="1"/>
  <c r="K614" i="1"/>
  <c r="J614" i="1"/>
  <c r="O614" i="1"/>
  <c r="X613" i="1"/>
  <c r="W613" i="1"/>
  <c r="N613" i="1"/>
  <c r="L613" i="1"/>
  <c r="K613" i="1"/>
  <c r="J613" i="1"/>
  <c r="O613" i="1"/>
  <c r="X612" i="1"/>
  <c r="W612" i="1"/>
  <c r="N612" i="1"/>
  <c r="L612" i="1"/>
  <c r="K612" i="1"/>
  <c r="J612" i="1"/>
  <c r="R612" i="1"/>
  <c r="X611" i="1"/>
  <c r="W611" i="1"/>
  <c r="N611" i="1"/>
  <c r="L611" i="1"/>
  <c r="K611" i="1"/>
  <c r="J611" i="1"/>
  <c r="O611" i="1"/>
  <c r="X610" i="1"/>
  <c r="W610" i="1"/>
  <c r="N610" i="1"/>
  <c r="L610" i="1"/>
  <c r="K610" i="1"/>
  <c r="J610" i="1"/>
  <c r="O610" i="1"/>
  <c r="X609" i="1"/>
  <c r="W609" i="1"/>
  <c r="N609" i="1"/>
  <c r="L609" i="1"/>
  <c r="K609" i="1"/>
  <c r="J609" i="1"/>
  <c r="O609" i="1"/>
  <c r="X608" i="1"/>
  <c r="W608" i="1"/>
  <c r="N608" i="1"/>
  <c r="L608" i="1"/>
  <c r="K608" i="1"/>
  <c r="J608" i="1"/>
  <c r="O608" i="1"/>
  <c r="X607" i="1"/>
  <c r="W607" i="1"/>
  <c r="N607" i="1"/>
  <c r="L607" i="1"/>
  <c r="K607" i="1"/>
  <c r="J607" i="1"/>
  <c r="O607" i="1"/>
  <c r="X606" i="1"/>
  <c r="W606" i="1"/>
  <c r="N606" i="1"/>
  <c r="L606" i="1"/>
  <c r="K606" i="1"/>
  <c r="J606" i="1"/>
  <c r="O606" i="1"/>
  <c r="P606" i="1" s="1"/>
  <c r="X605" i="1"/>
  <c r="W605" i="1"/>
  <c r="N605" i="1"/>
  <c r="L605" i="1"/>
  <c r="K605" i="1"/>
  <c r="J605" i="1"/>
  <c r="O605" i="1"/>
  <c r="X604" i="1"/>
  <c r="W604" i="1"/>
  <c r="N604" i="1"/>
  <c r="L604" i="1"/>
  <c r="K604" i="1"/>
  <c r="J604" i="1"/>
  <c r="O604" i="1"/>
  <c r="X603" i="1"/>
  <c r="W603" i="1"/>
  <c r="N603" i="1"/>
  <c r="L603" i="1"/>
  <c r="K603" i="1"/>
  <c r="J603" i="1"/>
  <c r="O603" i="1"/>
  <c r="X602" i="1"/>
  <c r="W602" i="1"/>
  <c r="N602" i="1"/>
  <c r="L602" i="1"/>
  <c r="K602" i="1"/>
  <c r="J602" i="1"/>
  <c r="O602" i="1"/>
  <c r="X601" i="1"/>
  <c r="W601" i="1"/>
  <c r="N601" i="1"/>
  <c r="L601" i="1"/>
  <c r="K601" i="1"/>
  <c r="J601" i="1"/>
  <c r="R601" i="1"/>
  <c r="X600" i="1"/>
  <c r="W600" i="1"/>
  <c r="N600" i="1"/>
  <c r="L600" i="1"/>
  <c r="K600" i="1"/>
  <c r="J600" i="1"/>
  <c r="R600" i="1"/>
  <c r="X599" i="1"/>
  <c r="W599" i="1"/>
  <c r="N599" i="1"/>
  <c r="L599" i="1"/>
  <c r="K599" i="1"/>
  <c r="J599" i="1"/>
  <c r="R599" i="1"/>
  <c r="X598" i="1"/>
  <c r="W598" i="1"/>
  <c r="N598" i="1"/>
  <c r="L598" i="1"/>
  <c r="K598" i="1"/>
  <c r="J598" i="1"/>
  <c r="O598" i="1"/>
  <c r="P598" i="1" s="1"/>
  <c r="X597" i="1"/>
  <c r="W597" i="1"/>
  <c r="N597" i="1"/>
  <c r="L597" i="1"/>
  <c r="K597" i="1"/>
  <c r="J597" i="1"/>
  <c r="R597" i="1"/>
  <c r="X596" i="1"/>
  <c r="W596" i="1"/>
  <c r="N596" i="1"/>
  <c r="L596" i="1"/>
  <c r="K596" i="1"/>
  <c r="J596" i="1"/>
  <c r="R596" i="1"/>
  <c r="X595" i="1"/>
  <c r="W595" i="1"/>
  <c r="N595" i="1"/>
  <c r="L595" i="1"/>
  <c r="K595" i="1"/>
  <c r="J595" i="1"/>
  <c r="R595" i="1"/>
  <c r="X594" i="1"/>
  <c r="W594" i="1"/>
  <c r="N594" i="1"/>
  <c r="L594" i="1"/>
  <c r="K594" i="1"/>
  <c r="J594" i="1"/>
  <c r="O594" i="1"/>
  <c r="X593" i="1"/>
  <c r="W593" i="1"/>
  <c r="N593" i="1"/>
  <c r="L593" i="1"/>
  <c r="K593" i="1"/>
  <c r="J593" i="1"/>
  <c r="O593" i="1"/>
  <c r="X592" i="1"/>
  <c r="W592" i="1"/>
  <c r="N592" i="1"/>
  <c r="L592" i="1"/>
  <c r="K592" i="1"/>
  <c r="J592" i="1"/>
  <c r="O592" i="1"/>
  <c r="X591" i="1"/>
  <c r="W591" i="1"/>
  <c r="N591" i="1"/>
  <c r="L591" i="1"/>
  <c r="K591" i="1"/>
  <c r="J591" i="1"/>
  <c r="O591" i="1"/>
  <c r="X590" i="1"/>
  <c r="W590" i="1"/>
  <c r="N590" i="1"/>
  <c r="L590" i="1"/>
  <c r="K590" i="1"/>
  <c r="J590" i="1"/>
  <c r="O590" i="1"/>
  <c r="X589" i="1"/>
  <c r="W589" i="1"/>
  <c r="N589" i="1"/>
  <c r="L589" i="1"/>
  <c r="K589" i="1"/>
  <c r="J589" i="1"/>
  <c r="X588" i="1"/>
  <c r="W588" i="1"/>
  <c r="N588" i="1"/>
  <c r="L588" i="1"/>
  <c r="K588" i="1"/>
  <c r="J588" i="1"/>
  <c r="O588" i="1"/>
  <c r="X587" i="1"/>
  <c r="W587" i="1"/>
  <c r="N587" i="1"/>
  <c r="L587" i="1"/>
  <c r="K587" i="1"/>
  <c r="J587" i="1"/>
  <c r="X586" i="1"/>
  <c r="W586" i="1"/>
  <c r="N586" i="1"/>
  <c r="L586" i="1"/>
  <c r="K586" i="1"/>
  <c r="J586" i="1"/>
  <c r="O586" i="1"/>
  <c r="X585" i="1"/>
  <c r="W585" i="1"/>
  <c r="N585" i="1"/>
  <c r="L585" i="1"/>
  <c r="K585" i="1"/>
  <c r="J585" i="1"/>
  <c r="X584" i="1"/>
  <c r="W584" i="1"/>
  <c r="N584" i="1"/>
  <c r="L584" i="1"/>
  <c r="K584" i="1"/>
  <c r="J584" i="1"/>
  <c r="R584" i="1"/>
  <c r="X583" i="1"/>
  <c r="W583" i="1"/>
  <c r="N583" i="1"/>
  <c r="L583" i="1"/>
  <c r="K583" i="1"/>
  <c r="J583" i="1"/>
  <c r="O583" i="1"/>
  <c r="R583" i="1" s="1"/>
  <c r="X582" i="1"/>
  <c r="W582" i="1"/>
  <c r="N582" i="1"/>
  <c r="L582" i="1"/>
  <c r="K582" i="1"/>
  <c r="J582" i="1"/>
  <c r="I582" i="1"/>
  <c r="R582" i="1"/>
  <c r="X581" i="1"/>
  <c r="W581" i="1"/>
  <c r="N581" i="1"/>
  <c r="L581" i="1"/>
  <c r="K581" i="1"/>
  <c r="J581" i="1"/>
  <c r="I581" i="1"/>
  <c r="R581" i="1"/>
  <c r="X580" i="1"/>
  <c r="W580" i="1"/>
  <c r="N580" i="1"/>
  <c r="L580" i="1"/>
  <c r="K580" i="1"/>
  <c r="J580" i="1"/>
  <c r="I580" i="1"/>
  <c r="R580" i="1"/>
  <c r="X579" i="1"/>
  <c r="W579" i="1"/>
  <c r="N579" i="1"/>
  <c r="L579" i="1"/>
  <c r="K579" i="1"/>
  <c r="J579" i="1"/>
  <c r="I579" i="1"/>
  <c r="R579" i="1"/>
  <c r="X578" i="1"/>
  <c r="W578" i="1"/>
  <c r="N578" i="1"/>
  <c r="L578" i="1"/>
  <c r="K578" i="1"/>
  <c r="J578" i="1"/>
  <c r="I578" i="1"/>
  <c r="O578" i="1"/>
  <c r="X577" i="1"/>
  <c r="W577" i="1"/>
  <c r="N577" i="1"/>
  <c r="L577" i="1"/>
  <c r="K577" i="1"/>
  <c r="J577" i="1"/>
  <c r="I577" i="1"/>
  <c r="R577" i="1"/>
  <c r="X576" i="1"/>
  <c r="W576" i="1"/>
  <c r="N576" i="1"/>
  <c r="L576" i="1"/>
  <c r="K576" i="1"/>
  <c r="J576" i="1"/>
  <c r="I576" i="1"/>
  <c r="R576" i="1"/>
  <c r="X575" i="1"/>
  <c r="W575" i="1"/>
  <c r="N575" i="1"/>
  <c r="L575" i="1"/>
  <c r="K575" i="1"/>
  <c r="J575" i="1"/>
  <c r="I575" i="1"/>
  <c r="R575" i="1"/>
  <c r="X574" i="1"/>
  <c r="W574" i="1"/>
  <c r="N574" i="1"/>
  <c r="L574" i="1"/>
  <c r="K574" i="1"/>
  <c r="J574" i="1"/>
  <c r="I574" i="1"/>
  <c r="O574" i="1"/>
  <c r="X573" i="1"/>
  <c r="W573" i="1"/>
  <c r="N573" i="1"/>
  <c r="L573" i="1"/>
  <c r="K573" i="1"/>
  <c r="J573" i="1"/>
  <c r="I573" i="1"/>
  <c r="R573" i="1"/>
  <c r="X572" i="1"/>
  <c r="W572" i="1"/>
  <c r="N572" i="1"/>
  <c r="L572" i="1"/>
  <c r="K572" i="1"/>
  <c r="J572" i="1"/>
  <c r="I572" i="1"/>
  <c r="R572" i="1"/>
  <c r="X571" i="1"/>
  <c r="W571" i="1"/>
  <c r="N571" i="1"/>
  <c r="L571" i="1"/>
  <c r="K571" i="1"/>
  <c r="J571" i="1"/>
  <c r="I571" i="1"/>
  <c r="R571" i="1"/>
  <c r="X570" i="1"/>
  <c r="W570" i="1"/>
  <c r="N570" i="1"/>
  <c r="L570" i="1"/>
  <c r="K570" i="1"/>
  <c r="J570" i="1"/>
  <c r="I570" i="1"/>
  <c r="R570" i="1"/>
  <c r="X569" i="1"/>
  <c r="W569" i="1"/>
  <c r="N569" i="1"/>
  <c r="L569" i="1"/>
  <c r="K569" i="1"/>
  <c r="J569" i="1"/>
  <c r="I569" i="1"/>
  <c r="R569" i="1"/>
  <c r="X568" i="1"/>
  <c r="W568" i="1"/>
  <c r="N568" i="1"/>
  <c r="L568" i="1"/>
  <c r="K568" i="1"/>
  <c r="J568" i="1"/>
  <c r="I568" i="1"/>
  <c r="O568" i="1"/>
  <c r="R568" i="1" s="1"/>
  <c r="X567" i="1"/>
  <c r="W567" i="1"/>
  <c r="N567" i="1"/>
  <c r="L567" i="1"/>
  <c r="K567" i="1"/>
  <c r="J567" i="1"/>
  <c r="I567" i="1"/>
  <c r="R567" i="1"/>
  <c r="X566" i="1"/>
  <c r="W566" i="1"/>
  <c r="N566" i="1"/>
  <c r="L566" i="1"/>
  <c r="K566" i="1"/>
  <c r="J566" i="1"/>
  <c r="I566" i="1"/>
  <c r="O566" i="1"/>
  <c r="X565" i="1"/>
  <c r="W565" i="1"/>
  <c r="N565" i="1"/>
  <c r="L565" i="1"/>
  <c r="K565" i="1"/>
  <c r="J565" i="1"/>
  <c r="I565" i="1"/>
  <c r="R565" i="1"/>
  <c r="X564" i="1"/>
  <c r="W564" i="1"/>
  <c r="N564" i="1"/>
  <c r="L564" i="1"/>
  <c r="K564" i="1"/>
  <c r="J564" i="1"/>
  <c r="I564" i="1"/>
  <c r="R564" i="1"/>
  <c r="X563" i="1"/>
  <c r="W563" i="1"/>
  <c r="N563" i="1"/>
  <c r="L563" i="1"/>
  <c r="K563" i="1"/>
  <c r="J563" i="1"/>
  <c r="I563" i="1"/>
  <c r="R563" i="1"/>
  <c r="X562" i="1"/>
  <c r="W562" i="1"/>
  <c r="N562" i="1"/>
  <c r="L562" i="1"/>
  <c r="K562" i="1"/>
  <c r="J562" i="1"/>
  <c r="I562" i="1"/>
  <c r="O562" i="1"/>
  <c r="X561" i="1"/>
  <c r="W561" i="1"/>
  <c r="N561" i="1"/>
  <c r="L561" i="1"/>
  <c r="K561" i="1"/>
  <c r="J561" i="1"/>
  <c r="I561" i="1"/>
  <c r="R561" i="1"/>
  <c r="X560" i="1"/>
  <c r="W560" i="1"/>
  <c r="N560" i="1"/>
  <c r="L560" i="1"/>
  <c r="K560" i="1"/>
  <c r="J560" i="1"/>
  <c r="R560" i="1"/>
  <c r="X559" i="1"/>
  <c r="W559" i="1"/>
  <c r="N559" i="1"/>
  <c r="L559" i="1"/>
  <c r="K559" i="1"/>
  <c r="J559" i="1"/>
  <c r="I559" i="1"/>
  <c r="R559" i="1"/>
  <c r="X558" i="1"/>
  <c r="W558" i="1"/>
  <c r="N558" i="1"/>
  <c r="L558" i="1"/>
  <c r="K558" i="1"/>
  <c r="J558" i="1"/>
  <c r="I558" i="1"/>
  <c r="R558" i="1"/>
  <c r="X557" i="1"/>
  <c r="W557" i="1"/>
  <c r="N557" i="1"/>
  <c r="L557" i="1"/>
  <c r="K557" i="1"/>
  <c r="J557" i="1"/>
  <c r="I557" i="1"/>
  <c r="R557" i="1"/>
  <c r="X556" i="1"/>
  <c r="W556" i="1"/>
  <c r="N556" i="1"/>
  <c r="L556" i="1"/>
  <c r="K556" i="1"/>
  <c r="J556" i="1"/>
  <c r="I556" i="1"/>
  <c r="O556" i="1"/>
  <c r="X555" i="1"/>
  <c r="W555" i="1"/>
  <c r="N555" i="1"/>
  <c r="L555" i="1"/>
  <c r="K555" i="1"/>
  <c r="J555" i="1"/>
  <c r="I555" i="1"/>
  <c r="R555" i="1"/>
  <c r="X554" i="1"/>
  <c r="W554" i="1"/>
  <c r="N554" i="1"/>
  <c r="L554" i="1"/>
  <c r="K554" i="1"/>
  <c r="J554" i="1"/>
  <c r="I554" i="1"/>
  <c r="R554" i="1"/>
  <c r="X553" i="1"/>
  <c r="W553" i="1"/>
  <c r="N553" i="1"/>
  <c r="L553" i="1"/>
  <c r="K553" i="1"/>
  <c r="J553" i="1"/>
  <c r="I553" i="1"/>
  <c r="R553" i="1"/>
  <c r="X552" i="1"/>
  <c r="W552" i="1"/>
  <c r="N552" i="1"/>
  <c r="L552" i="1"/>
  <c r="K552" i="1"/>
  <c r="J552" i="1"/>
  <c r="I552" i="1"/>
  <c r="R552" i="1"/>
  <c r="X551" i="1"/>
  <c r="W551" i="1"/>
  <c r="N551" i="1"/>
  <c r="L551" i="1"/>
  <c r="K551" i="1"/>
  <c r="J551" i="1"/>
  <c r="I551" i="1"/>
  <c r="X550" i="1"/>
  <c r="W550" i="1"/>
  <c r="N550" i="1"/>
  <c r="L550" i="1"/>
  <c r="K550" i="1"/>
  <c r="J550" i="1"/>
  <c r="I550" i="1"/>
  <c r="R550" i="1"/>
  <c r="X549" i="1"/>
  <c r="W549" i="1"/>
  <c r="N549" i="1"/>
  <c r="L549" i="1"/>
  <c r="K549" i="1"/>
  <c r="J549" i="1"/>
  <c r="I549" i="1"/>
  <c r="R549" i="1"/>
  <c r="X548" i="1"/>
  <c r="W548" i="1"/>
  <c r="N548" i="1"/>
  <c r="L548" i="1"/>
  <c r="K548" i="1"/>
  <c r="J548" i="1"/>
  <c r="O548" i="1"/>
  <c r="P548" i="1" s="1"/>
  <c r="X547" i="1"/>
  <c r="W547" i="1"/>
  <c r="N547" i="1"/>
  <c r="L547" i="1"/>
  <c r="K547" i="1"/>
  <c r="J547" i="1"/>
  <c r="R547" i="1"/>
  <c r="X546" i="1"/>
  <c r="W546" i="1"/>
  <c r="N546" i="1"/>
  <c r="L546" i="1"/>
  <c r="K546" i="1"/>
  <c r="J546" i="1"/>
  <c r="O546" i="1"/>
  <c r="X545" i="1"/>
  <c r="W545" i="1"/>
  <c r="N545" i="1"/>
  <c r="L545" i="1"/>
  <c r="K545" i="1"/>
  <c r="J545" i="1"/>
  <c r="O545" i="1"/>
  <c r="X544" i="1"/>
  <c r="W544" i="1"/>
  <c r="N544" i="1"/>
  <c r="L544" i="1"/>
  <c r="K544" i="1"/>
  <c r="J544" i="1"/>
  <c r="O544" i="1"/>
  <c r="X543" i="1"/>
  <c r="W543" i="1"/>
  <c r="N543" i="1"/>
  <c r="L543" i="1"/>
  <c r="K543" i="1"/>
  <c r="J543" i="1"/>
  <c r="R543" i="1"/>
  <c r="X542" i="1"/>
  <c r="W542" i="1"/>
  <c r="N542" i="1"/>
  <c r="L542" i="1"/>
  <c r="K542" i="1"/>
  <c r="J542" i="1"/>
  <c r="O542" i="1"/>
  <c r="R542" i="1" s="1"/>
  <c r="X541" i="1"/>
  <c r="W541" i="1"/>
  <c r="N541" i="1"/>
  <c r="L541" i="1"/>
  <c r="K541" i="1"/>
  <c r="J541" i="1"/>
  <c r="O541" i="1"/>
  <c r="R541" i="1" s="1"/>
  <c r="X540" i="1"/>
  <c r="W540" i="1"/>
  <c r="N540" i="1"/>
  <c r="L540" i="1"/>
  <c r="K540" i="1"/>
  <c r="J540" i="1"/>
  <c r="O540" i="1"/>
  <c r="X539" i="1"/>
  <c r="W539" i="1"/>
  <c r="N539" i="1"/>
  <c r="L539" i="1"/>
  <c r="K539" i="1"/>
  <c r="J539" i="1"/>
  <c r="I539" i="1"/>
  <c r="R539" i="1"/>
  <c r="X538" i="1"/>
  <c r="W538" i="1"/>
  <c r="N538" i="1"/>
  <c r="L538" i="1"/>
  <c r="K538" i="1"/>
  <c r="J538" i="1"/>
  <c r="I538" i="1"/>
  <c r="R538" i="1"/>
  <c r="X537" i="1"/>
  <c r="W537" i="1"/>
  <c r="N537" i="1"/>
  <c r="L537" i="1"/>
  <c r="K537" i="1"/>
  <c r="J537" i="1"/>
  <c r="I537" i="1"/>
  <c r="O537" i="1"/>
  <c r="X536" i="1"/>
  <c r="W536" i="1"/>
  <c r="N536" i="1"/>
  <c r="L536" i="1"/>
  <c r="K536" i="1"/>
  <c r="J536" i="1"/>
  <c r="I536" i="1"/>
  <c r="R536" i="1"/>
  <c r="X535" i="1"/>
  <c r="W535" i="1"/>
  <c r="N535" i="1"/>
  <c r="L535" i="1"/>
  <c r="K535" i="1"/>
  <c r="J535" i="1"/>
  <c r="I535" i="1"/>
  <c r="R535" i="1"/>
  <c r="X534" i="1"/>
  <c r="W534" i="1"/>
  <c r="N534" i="1"/>
  <c r="L534" i="1"/>
  <c r="K534" i="1"/>
  <c r="J534" i="1"/>
  <c r="I534" i="1"/>
  <c r="R534" i="1"/>
  <c r="X533" i="1"/>
  <c r="W533" i="1"/>
  <c r="N533" i="1"/>
  <c r="L533" i="1"/>
  <c r="K533" i="1"/>
  <c r="J533" i="1"/>
  <c r="I533" i="1"/>
  <c r="R533" i="1"/>
  <c r="X532" i="1"/>
  <c r="W532" i="1"/>
  <c r="N532" i="1"/>
  <c r="L532" i="1"/>
  <c r="K532" i="1"/>
  <c r="J532" i="1"/>
  <c r="I532" i="1"/>
  <c r="R532" i="1"/>
  <c r="X531" i="1"/>
  <c r="W531" i="1"/>
  <c r="N531" i="1"/>
  <c r="L531" i="1"/>
  <c r="K531" i="1"/>
  <c r="J531" i="1"/>
  <c r="I531" i="1"/>
  <c r="R531" i="1"/>
  <c r="X530" i="1"/>
  <c r="W530" i="1"/>
  <c r="N530" i="1"/>
  <c r="L530" i="1"/>
  <c r="K530" i="1"/>
  <c r="J530" i="1"/>
  <c r="I530" i="1"/>
  <c r="R530" i="1"/>
  <c r="X529" i="1"/>
  <c r="W529" i="1"/>
  <c r="N529" i="1"/>
  <c r="L529" i="1"/>
  <c r="K529" i="1"/>
  <c r="J529" i="1"/>
  <c r="I529" i="1"/>
  <c r="O529" i="1"/>
  <c r="X528" i="1"/>
  <c r="W528" i="1"/>
  <c r="N528" i="1"/>
  <c r="L528" i="1"/>
  <c r="K528" i="1"/>
  <c r="J528" i="1"/>
  <c r="I528" i="1"/>
  <c r="R528" i="1"/>
  <c r="X527" i="1"/>
  <c r="W527" i="1"/>
  <c r="N527" i="1"/>
  <c r="L527" i="1"/>
  <c r="K527" i="1"/>
  <c r="J527" i="1"/>
  <c r="I527" i="1"/>
  <c r="R527" i="1"/>
  <c r="X526" i="1"/>
  <c r="W526" i="1"/>
  <c r="N526" i="1"/>
  <c r="L526" i="1"/>
  <c r="K526" i="1"/>
  <c r="J526" i="1"/>
  <c r="I526" i="1"/>
  <c r="R526" i="1"/>
  <c r="X525" i="1"/>
  <c r="W525" i="1"/>
  <c r="N525" i="1"/>
  <c r="L525" i="1"/>
  <c r="K525" i="1"/>
  <c r="J525" i="1"/>
  <c r="I525" i="1"/>
  <c r="O525" i="1"/>
  <c r="P525" i="1" s="1"/>
  <c r="X524" i="1"/>
  <c r="W524" i="1"/>
  <c r="N524" i="1"/>
  <c r="L524" i="1"/>
  <c r="K524" i="1"/>
  <c r="J524" i="1"/>
  <c r="O524" i="1"/>
  <c r="X523" i="1"/>
  <c r="W523" i="1"/>
  <c r="N523" i="1"/>
  <c r="L523" i="1"/>
  <c r="K523" i="1"/>
  <c r="J523" i="1"/>
  <c r="R523" i="1"/>
  <c r="X522" i="1"/>
  <c r="W522" i="1"/>
  <c r="N522" i="1"/>
  <c r="L522" i="1"/>
  <c r="K522" i="1"/>
  <c r="J522" i="1"/>
  <c r="O522" i="1"/>
  <c r="X521" i="1"/>
  <c r="W521" i="1"/>
  <c r="N521" i="1"/>
  <c r="L521" i="1"/>
  <c r="K521" i="1"/>
  <c r="J521" i="1"/>
  <c r="R521" i="1"/>
  <c r="X520" i="1"/>
  <c r="W520" i="1"/>
  <c r="N520" i="1"/>
  <c r="L520" i="1"/>
  <c r="K520" i="1"/>
  <c r="J520" i="1"/>
  <c r="O520" i="1"/>
  <c r="X519" i="1"/>
  <c r="W519" i="1"/>
  <c r="N519" i="1"/>
  <c r="L519" i="1"/>
  <c r="K519" i="1"/>
  <c r="J519" i="1"/>
  <c r="R519" i="1"/>
  <c r="X518" i="1"/>
  <c r="W518" i="1"/>
  <c r="N518" i="1"/>
  <c r="L518" i="1"/>
  <c r="K518" i="1"/>
  <c r="J518" i="1"/>
  <c r="O518" i="1"/>
  <c r="X517" i="1"/>
  <c r="W517" i="1"/>
  <c r="N517" i="1"/>
  <c r="L517" i="1"/>
  <c r="K517" i="1"/>
  <c r="J517" i="1"/>
  <c r="R517" i="1"/>
  <c r="X516" i="1"/>
  <c r="W516" i="1"/>
  <c r="N516" i="1"/>
  <c r="L516" i="1"/>
  <c r="K516" i="1"/>
  <c r="J516" i="1"/>
  <c r="O516" i="1"/>
  <c r="X515" i="1"/>
  <c r="W515" i="1"/>
  <c r="N515" i="1"/>
  <c r="L515" i="1"/>
  <c r="K515" i="1"/>
  <c r="J515" i="1"/>
  <c r="R515" i="1"/>
  <c r="X514" i="1"/>
  <c r="W514" i="1"/>
  <c r="N514" i="1"/>
  <c r="L514" i="1"/>
  <c r="K514" i="1"/>
  <c r="J514" i="1"/>
  <c r="O514" i="1"/>
  <c r="R514" i="1" s="1"/>
  <c r="X513" i="1"/>
  <c r="W513" i="1"/>
  <c r="N513" i="1"/>
  <c r="L513" i="1"/>
  <c r="K513" i="1"/>
  <c r="J513" i="1"/>
  <c r="I513" i="1"/>
  <c r="R513" i="1"/>
  <c r="X512" i="1"/>
  <c r="W512" i="1"/>
  <c r="N512" i="1"/>
  <c r="L512" i="1"/>
  <c r="K512" i="1"/>
  <c r="J512" i="1"/>
  <c r="I512" i="1"/>
  <c r="R512" i="1"/>
  <c r="X511" i="1"/>
  <c r="W511" i="1"/>
  <c r="N511" i="1"/>
  <c r="L511" i="1"/>
  <c r="K511" i="1"/>
  <c r="J511" i="1"/>
  <c r="I511" i="1"/>
  <c r="R511" i="1"/>
  <c r="X510" i="1"/>
  <c r="W510" i="1"/>
  <c r="N510" i="1"/>
  <c r="L510" i="1"/>
  <c r="K510" i="1"/>
  <c r="J510" i="1"/>
  <c r="I510" i="1"/>
  <c r="R510" i="1"/>
  <c r="X509" i="1"/>
  <c r="W509" i="1"/>
  <c r="N509" i="1"/>
  <c r="L509" i="1"/>
  <c r="K509" i="1"/>
  <c r="J509" i="1"/>
  <c r="O509" i="1"/>
  <c r="R509" i="1" s="1"/>
  <c r="X508" i="1"/>
  <c r="W508" i="1"/>
  <c r="N508" i="1"/>
  <c r="L508" i="1"/>
  <c r="K508" i="1"/>
  <c r="J508" i="1"/>
  <c r="O508" i="1"/>
  <c r="X507" i="1"/>
  <c r="W507" i="1"/>
  <c r="N507" i="1"/>
  <c r="L507" i="1"/>
  <c r="K507" i="1"/>
  <c r="J507" i="1"/>
  <c r="O507" i="1"/>
  <c r="R507" i="1" s="1"/>
  <c r="X506" i="1"/>
  <c r="W506" i="1"/>
  <c r="N506" i="1"/>
  <c r="L506" i="1"/>
  <c r="K506" i="1"/>
  <c r="J506" i="1"/>
  <c r="O506" i="1"/>
  <c r="R506" i="1" s="1"/>
  <c r="X505" i="1"/>
  <c r="W505" i="1"/>
  <c r="N505" i="1"/>
  <c r="L505" i="1"/>
  <c r="K505" i="1"/>
  <c r="J505" i="1"/>
  <c r="O505" i="1"/>
  <c r="R505" i="1" s="1"/>
  <c r="X504" i="1"/>
  <c r="W504" i="1"/>
  <c r="N504" i="1"/>
  <c r="L504" i="1"/>
  <c r="K504" i="1"/>
  <c r="J504" i="1"/>
  <c r="I504" i="1"/>
  <c r="O504" i="1"/>
  <c r="X503" i="1"/>
  <c r="W503" i="1"/>
  <c r="N503" i="1"/>
  <c r="L503" i="1"/>
  <c r="K503" i="1"/>
  <c r="J503" i="1"/>
  <c r="I503" i="1"/>
  <c r="O503" i="1"/>
  <c r="X502" i="1"/>
  <c r="W502" i="1"/>
  <c r="N502" i="1"/>
  <c r="L502" i="1"/>
  <c r="K502" i="1"/>
  <c r="J502" i="1"/>
  <c r="I502" i="1"/>
  <c r="O502" i="1"/>
  <c r="X501" i="1"/>
  <c r="W501" i="1"/>
  <c r="N501" i="1"/>
  <c r="L501" i="1"/>
  <c r="K501" i="1"/>
  <c r="J501" i="1"/>
  <c r="I501" i="1"/>
  <c r="O501" i="1"/>
  <c r="X500" i="1"/>
  <c r="W500" i="1"/>
  <c r="N500" i="1"/>
  <c r="L500" i="1"/>
  <c r="K500" i="1"/>
  <c r="J500" i="1"/>
  <c r="I500" i="1"/>
  <c r="O500" i="1"/>
  <c r="X499" i="1"/>
  <c r="W499" i="1"/>
  <c r="N499" i="1"/>
  <c r="L499" i="1"/>
  <c r="K499" i="1"/>
  <c r="J499" i="1"/>
  <c r="R499" i="1"/>
  <c r="X498" i="1"/>
  <c r="W498" i="1"/>
  <c r="N498" i="1"/>
  <c r="L498" i="1"/>
  <c r="K498" i="1"/>
  <c r="J498" i="1"/>
  <c r="O498" i="1"/>
  <c r="X497" i="1"/>
  <c r="W497" i="1"/>
  <c r="N497" i="1"/>
  <c r="L497" i="1"/>
  <c r="K497" i="1"/>
  <c r="J497" i="1"/>
  <c r="O497" i="1"/>
  <c r="X496" i="1"/>
  <c r="W496" i="1"/>
  <c r="N496" i="1"/>
  <c r="L496" i="1"/>
  <c r="K496" i="1"/>
  <c r="J496" i="1"/>
  <c r="I496" i="1"/>
  <c r="O496" i="1"/>
  <c r="X495" i="1"/>
  <c r="W495" i="1"/>
  <c r="N495" i="1"/>
  <c r="L495" i="1"/>
  <c r="K495" i="1"/>
  <c r="J495" i="1"/>
  <c r="I495" i="1"/>
  <c r="O495" i="1"/>
  <c r="X494" i="1"/>
  <c r="W494" i="1"/>
  <c r="N494" i="1"/>
  <c r="L494" i="1"/>
  <c r="K494" i="1"/>
  <c r="J494" i="1"/>
  <c r="I494" i="1"/>
  <c r="O494" i="1"/>
  <c r="X493" i="1"/>
  <c r="W493" i="1"/>
  <c r="N493" i="1"/>
  <c r="L493" i="1"/>
  <c r="K493" i="1"/>
  <c r="J493" i="1"/>
  <c r="I493" i="1"/>
  <c r="O493" i="1"/>
  <c r="X492" i="1"/>
  <c r="W492" i="1"/>
  <c r="N492" i="1"/>
  <c r="L492" i="1"/>
  <c r="K492" i="1"/>
  <c r="J492" i="1"/>
  <c r="O492" i="1"/>
  <c r="R492" i="1" s="1"/>
  <c r="X491" i="1"/>
  <c r="W491" i="1"/>
  <c r="N491" i="1"/>
  <c r="L491" i="1"/>
  <c r="K491" i="1"/>
  <c r="J491" i="1"/>
  <c r="O491" i="1"/>
  <c r="R491" i="1" s="1"/>
  <c r="X490" i="1"/>
  <c r="W490" i="1"/>
  <c r="N490" i="1"/>
  <c r="L490" i="1"/>
  <c r="K490" i="1"/>
  <c r="J490" i="1"/>
  <c r="O490" i="1"/>
  <c r="R490" i="1" s="1"/>
  <c r="X489" i="1"/>
  <c r="W489" i="1"/>
  <c r="N489" i="1"/>
  <c r="L489" i="1"/>
  <c r="K489" i="1"/>
  <c r="J489" i="1"/>
  <c r="O489" i="1"/>
  <c r="R489" i="1" s="1"/>
  <c r="X488" i="1"/>
  <c r="W488" i="1"/>
  <c r="N488" i="1"/>
  <c r="L488" i="1"/>
  <c r="K488" i="1"/>
  <c r="J488" i="1"/>
  <c r="O488" i="1"/>
  <c r="R488" i="1" s="1"/>
  <c r="X487" i="1"/>
  <c r="W487" i="1"/>
  <c r="N487" i="1"/>
  <c r="L487" i="1"/>
  <c r="K487" i="1"/>
  <c r="J487" i="1"/>
  <c r="O487" i="1"/>
  <c r="R487" i="1" s="1"/>
  <c r="X486" i="1"/>
  <c r="W486" i="1"/>
  <c r="N486" i="1"/>
  <c r="L486" i="1"/>
  <c r="K486" i="1"/>
  <c r="J486" i="1"/>
  <c r="O486" i="1"/>
  <c r="X485" i="1"/>
  <c r="W485" i="1"/>
  <c r="N485" i="1"/>
  <c r="L485" i="1"/>
  <c r="K485" i="1"/>
  <c r="J485" i="1"/>
  <c r="O485" i="1"/>
  <c r="R485" i="1" s="1"/>
  <c r="X484" i="1"/>
  <c r="W484" i="1"/>
  <c r="N484" i="1"/>
  <c r="L484" i="1"/>
  <c r="K484" i="1"/>
  <c r="J484" i="1"/>
  <c r="O484" i="1"/>
  <c r="R484" i="1" s="1"/>
  <c r="X483" i="1"/>
  <c r="W483" i="1"/>
  <c r="N483" i="1"/>
  <c r="L483" i="1"/>
  <c r="K483" i="1"/>
  <c r="J483" i="1"/>
  <c r="O483" i="1"/>
  <c r="R483" i="1" s="1"/>
  <c r="X482" i="1"/>
  <c r="W482" i="1"/>
  <c r="N482" i="1"/>
  <c r="L482" i="1"/>
  <c r="K482" i="1"/>
  <c r="J482" i="1"/>
  <c r="O482" i="1"/>
  <c r="R482" i="1" s="1"/>
  <c r="X481" i="1"/>
  <c r="W481" i="1"/>
  <c r="N481" i="1"/>
  <c r="L481" i="1"/>
  <c r="K481" i="1"/>
  <c r="J481" i="1"/>
  <c r="O481" i="1"/>
  <c r="R481" i="1" s="1"/>
  <c r="X480" i="1"/>
  <c r="W480" i="1"/>
  <c r="N480" i="1"/>
  <c r="L480" i="1"/>
  <c r="K480" i="1"/>
  <c r="J480" i="1"/>
  <c r="O480" i="1"/>
  <c r="X479" i="1"/>
  <c r="W479" i="1"/>
  <c r="N479" i="1"/>
  <c r="L479" i="1"/>
  <c r="K479" i="1"/>
  <c r="J479" i="1"/>
  <c r="I479" i="1"/>
  <c r="O479" i="1"/>
  <c r="R479" i="1" s="1"/>
  <c r="X478" i="1"/>
  <c r="W478" i="1"/>
  <c r="N478" i="1"/>
  <c r="L478" i="1"/>
  <c r="K478" i="1"/>
  <c r="J478" i="1"/>
  <c r="I478" i="1"/>
  <c r="O478" i="1"/>
  <c r="R478" i="1" s="1"/>
  <c r="X477" i="1"/>
  <c r="W477" i="1"/>
  <c r="N477" i="1"/>
  <c r="L477" i="1"/>
  <c r="K477" i="1"/>
  <c r="J477" i="1"/>
  <c r="I477" i="1"/>
  <c r="O477" i="1"/>
  <c r="R477" i="1" s="1"/>
  <c r="X476" i="1"/>
  <c r="W476" i="1"/>
  <c r="N476" i="1"/>
  <c r="L476" i="1"/>
  <c r="K476" i="1"/>
  <c r="J476" i="1"/>
  <c r="I476" i="1"/>
  <c r="O476" i="1"/>
  <c r="R476" i="1" s="1"/>
  <c r="X475" i="1"/>
  <c r="W475" i="1"/>
  <c r="N475" i="1"/>
  <c r="L475" i="1"/>
  <c r="K475" i="1"/>
  <c r="J475" i="1"/>
  <c r="I475" i="1"/>
  <c r="O475" i="1"/>
  <c r="R475" i="1" s="1"/>
  <c r="X474" i="1"/>
  <c r="W474" i="1"/>
  <c r="N474" i="1"/>
  <c r="L474" i="1"/>
  <c r="K474" i="1"/>
  <c r="J474" i="1"/>
  <c r="O474" i="1"/>
  <c r="X473" i="1"/>
  <c r="W473" i="1"/>
  <c r="N473" i="1"/>
  <c r="L473" i="1"/>
  <c r="K473" i="1"/>
  <c r="J473" i="1"/>
  <c r="I473" i="1"/>
  <c r="O473" i="1"/>
  <c r="X472" i="1"/>
  <c r="W472" i="1"/>
  <c r="N472" i="1"/>
  <c r="L472" i="1"/>
  <c r="K472" i="1"/>
  <c r="J472" i="1"/>
  <c r="I472" i="1"/>
  <c r="X471" i="1"/>
  <c r="W471" i="1"/>
  <c r="N471" i="1"/>
  <c r="L471" i="1"/>
  <c r="K471" i="1"/>
  <c r="J471" i="1"/>
  <c r="I471" i="1"/>
  <c r="O471" i="1"/>
  <c r="X470" i="1"/>
  <c r="W470" i="1"/>
  <c r="N470" i="1"/>
  <c r="L470" i="1"/>
  <c r="K470" i="1"/>
  <c r="J470" i="1"/>
  <c r="I470" i="1"/>
  <c r="O470" i="1"/>
  <c r="R470" i="1" s="1"/>
  <c r="X469" i="1"/>
  <c r="W469" i="1"/>
  <c r="N469" i="1"/>
  <c r="L469" i="1"/>
  <c r="K469" i="1"/>
  <c r="J469" i="1"/>
  <c r="I469" i="1"/>
  <c r="O469" i="1"/>
  <c r="R469" i="1" s="1"/>
  <c r="X468" i="1"/>
  <c r="W468" i="1"/>
  <c r="N468" i="1"/>
  <c r="L468" i="1"/>
  <c r="K468" i="1"/>
  <c r="J468" i="1"/>
  <c r="I468" i="1"/>
  <c r="O468" i="1"/>
  <c r="R468" i="1" s="1"/>
  <c r="X467" i="1"/>
  <c r="W467" i="1"/>
  <c r="N467" i="1"/>
  <c r="L467" i="1"/>
  <c r="K467" i="1"/>
  <c r="J467" i="1"/>
  <c r="I467" i="1"/>
  <c r="O467" i="1"/>
  <c r="R467" i="1" s="1"/>
  <c r="X466" i="1"/>
  <c r="W466" i="1"/>
  <c r="N466" i="1"/>
  <c r="L466" i="1"/>
  <c r="K466" i="1"/>
  <c r="J466" i="1"/>
  <c r="I466" i="1"/>
  <c r="O466" i="1"/>
  <c r="X465" i="1"/>
  <c r="W465" i="1"/>
  <c r="N465" i="1"/>
  <c r="L465" i="1"/>
  <c r="K465" i="1"/>
  <c r="J465" i="1"/>
  <c r="I465" i="1"/>
  <c r="O465" i="1"/>
  <c r="R465" i="1" s="1"/>
  <c r="X464" i="1"/>
  <c r="W464" i="1"/>
  <c r="N464" i="1"/>
  <c r="L464" i="1"/>
  <c r="K464" i="1"/>
  <c r="J464" i="1"/>
  <c r="I464" i="1"/>
  <c r="O464" i="1"/>
  <c r="R464" i="1" s="1"/>
  <c r="X463" i="1"/>
  <c r="W463" i="1"/>
  <c r="N463" i="1"/>
  <c r="L463" i="1"/>
  <c r="K463" i="1"/>
  <c r="J463" i="1"/>
  <c r="I463" i="1"/>
  <c r="O463" i="1"/>
  <c r="R463" i="1" s="1"/>
  <c r="X462" i="1"/>
  <c r="W462" i="1"/>
  <c r="N462" i="1"/>
  <c r="L462" i="1"/>
  <c r="K462" i="1"/>
  <c r="J462" i="1"/>
  <c r="O462" i="1"/>
  <c r="R462" i="1" s="1"/>
  <c r="X461" i="1"/>
  <c r="W461" i="1"/>
  <c r="N461" i="1"/>
  <c r="L461" i="1"/>
  <c r="K461" i="1"/>
  <c r="J461" i="1"/>
  <c r="O461" i="1"/>
  <c r="R461" i="1" s="1"/>
  <c r="X460" i="1"/>
  <c r="W460" i="1"/>
  <c r="N460" i="1"/>
  <c r="L460" i="1"/>
  <c r="K460" i="1"/>
  <c r="J460" i="1"/>
  <c r="O460" i="1"/>
  <c r="R460" i="1" s="1"/>
  <c r="X459" i="1"/>
  <c r="W459" i="1"/>
  <c r="N459" i="1"/>
  <c r="L459" i="1"/>
  <c r="K459" i="1"/>
  <c r="J459" i="1"/>
  <c r="O459" i="1"/>
  <c r="R459" i="1" s="1"/>
  <c r="X458" i="1"/>
  <c r="W458" i="1"/>
  <c r="N458" i="1"/>
  <c r="L458" i="1"/>
  <c r="K458" i="1"/>
  <c r="J458" i="1"/>
  <c r="O458" i="1"/>
  <c r="R458" i="1" s="1"/>
  <c r="X457" i="1"/>
  <c r="W457" i="1"/>
  <c r="N457" i="1"/>
  <c r="L457" i="1"/>
  <c r="K457" i="1"/>
  <c r="J457" i="1"/>
  <c r="I457" i="1"/>
  <c r="O457" i="1"/>
  <c r="R457" i="1" s="1"/>
  <c r="X456" i="1"/>
  <c r="W456" i="1"/>
  <c r="N456" i="1"/>
  <c r="L456" i="1"/>
  <c r="K456" i="1"/>
  <c r="J456" i="1"/>
  <c r="I456" i="1"/>
  <c r="O456" i="1"/>
  <c r="R456" i="1" s="1"/>
  <c r="X455" i="1"/>
  <c r="W455" i="1"/>
  <c r="N455" i="1"/>
  <c r="L455" i="1"/>
  <c r="K455" i="1"/>
  <c r="J455" i="1"/>
  <c r="I455" i="1"/>
  <c r="O455" i="1"/>
  <c r="R455" i="1" s="1"/>
  <c r="X454" i="1"/>
  <c r="W454" i="1"/>
  <c r="N454" i="1"/>
  <c r="L454" i="1"/>
  <c r="K454" i="1"/>
  <c r="J454" i="1"/>
  <c r="I454" i="1"/>
  <c r="O454" i="1"/>
  <c r="R454" i="1" s="1"/>
  <c r="X453" i="1"/>
  <c r="W453" i="1"/>
  <c r="N453" i="1"/>
  <c r="L453" i="1"/>
  <c r="K453" i="1"/>
  <c r="J453" i="1"/>
  <c r="I453" i="1"/>
  <c r="O453" i="1"/>
  <c r="X452" i="1"/>
  <c r="W452" i="1"/>
  <c r="N452" i="1"/>
  <c r="L452" i="1"/>
  <c r="K452" i="1"/>
  <c r="J452" i="1"/>
  <c r="I452" i="1"/>
  <c r="O452" i="1"/>
  <c r="R452" i="1" s="1"/>
  <c r="X451" i="1"/>
  <c r="W451" i="1"/>
  <c r="N451" i="1"/>
  <c r="L451" i="1"/>
  <c r="K451" i="1"/>
  <c r="J451" i="1"/>
  <c r="I451" i="1"/>
  <c r="O451" i="1"/>
  <c r="R451" i="1" s="1"/>
  <c r="X450" i="1"/>
  <c r="W450" i="1"/>
  <c r="N450" i="1"/>
  <c r="L450" i="1"/>
  <c r="K450" i="1"/>
  <c r="J450" i="1"/>
  <c r="I450" i="1"/>
  <c r="O450" i="1"/>
  <c r="R450" i="1" s="1"/>
  <c r="X449" i="1"/>
  <c r="W449" i="1"/>
  <c r="N449" i="1"/>
  <c r="L449" i="1"/>
  <c r="K449" i="1"/>
  <c r="J449" i="1"/>
  <c r="I449" i="1"/>
  <c r="O449" i="1"/>
  <c r="R449" i="1" s="1"/>
  <c r="X448" i="1"/>
  <c r="W448" i="1"/>
  <c r="N448" i="1"/>
  <c r="L448" i="1"/>
  <c r="K448" i="1"/>
  <c r="J448" i="1"/>
  <c r="I448" i="1"/>
  <c r="O448" i="1"/>
  <c r="R448" i="1" s="1"/>
  <c r="X447" i="1"/>
  <c r="W447" i="1"/>
  <c r="N447" i="1"/>
  <c r="L447" i="1"/>
  <c r="K447" i="1"/>
  <c r="J447" i="1"/>
  <c r="I447" i="1"/>
  <c r="O447" i="1"/>
  <c r="R447" i="1" s="1"/>
  <c r="X446" i="1"/>
  <c r="W446" i="1"/>
  <c r="N446" i="1"/>
  <c r="L446" i="1"/>
  <c r="K446" i="1"/>
  <c r="J446" i="1"/>
  <c r="I446" i="1"/>
  <c r="O446" i="1"/>
  <c r="X445" i="1"/>
  <c r="W445" i="1"/>
  <c r="N445" i="1"/>
  <c r="L445" i="1"/>
  <c r="K445" i="1"/>
  <c r="J445" i="1"/>
  <c r="I445" i="1"/>
  <c r="O445" i="1"/>
  <c r="R445" i="1" s="1"/>
  <c r="X444" i="1"/>
  <c r="W444" i="1"/>
  <c r="N444" i="1"/>
  <c r="L444" i="1"/>
  <c r="K444" i="1"/>
  <c r="J444" i="1"/>
  <c r="I444" i="1"/>
  <c r="O444" i="1"/>
  <c r="R444" i="1" s="1"/>
  <c r="X443" i="1"/>
  <c r="W443" i="1"/>
  <c r="N443" i="1"/>
  <c r="L443" i="1"/>
  <c r="K443" i="1"/>
  <c r="J443" i="1"/>
  <c r="I443" i="1"/>
  <c r="O443" i="1"/>
  <c r="R443" i="1" s="1"/>
  <c r="X442" i="1"/>
  <c r="W442" i="1"/>
  <c r="N442" i="1"/>
  <c r="L442" i="1"/>
  <c r="K442" i="1"/>
  <c r="J442" i="1"/>
  <c r="O442" i="1"/>
  <c r="R442" i="1" s="1"/>
  <c r="X441" i="1"/>
  <c r="W441" i="1"/>
  <c r="N441" i="1"/>
  <c r="L441" i="1"/>
  <c r="K441" i="1"/>
  <c r="J441" i="1"/>
  <c r="I441" i="1"/>
  <c r="O441" i="1"/>
  <c r="R441" i="1" s="1"/>
  <c r="X440" i="1"/>
  <c r="W440" i="1"/>
  <c r="N440" i="1"/>
  <c r="L440" i="1"/>
  <c r="K440" i="1"/>
  <c r="J440" i="1"/>
  <c r="I440" i="1"/>
  <c r="O440" i="1"/>
  <c r="R440" i="1" s="1"/>
  <c r="X439" i="1"/>
  <c r="W439" i="1"/>
  <c r="N439" i="1"/>
  <c r="L439" i="1"/>
  <c r="K439" i="1"/>
  <c r="J439" i="1"/>
  <c r="I439" i="1"/>
  <c r="O439" i="1"/>
  <c r="R439" i="1" s="1"/>
  <c r="X438" i="1"/>
  <c r="W438" i="1"/>
  <c r="N438" i="1"/>
  <c r="L438" i="1"/>
  <c r="K438" i="1"/>
  <c r="J438" i="1"/>
  <c r="I438" i="1"/>
  <c r="O438" i="1"/>
  <c r="P438" i="1" s="1"/>
  <c r="X437" i="1"/>
  <c r="W437" i="1"/>
  <c r="N437" i="1"/>
  <c r="L437" i="1"/>
  <c r="K437" i="1"/>
  <c r="J437" i="1"/>
  <c r="I437" i="1"/>
  <c r="O437" i="1"/>
  <c r="R437" i="1" s="1"/>
  <c r="X436" i="1"/>
  <c r="W436" i="1"/>
  <c r="N436" i="1"/>
  <c r="L436" i="1"/>
  <c r="K436" i="1"/>
  <c r="J436" i="1"/>
  <c r="I436" i="1"/>
  <c r="O436" i="1"/>
  <c r="R436" i="1" s="1"/>
  <c r="X435" i="1"/>
  <c r="W435" i="1"/>
  <c r="N435" i="1"/>
  <c r="L435" i="1"/>
  <c r="K435" i="1"/>
  <c r="J435" i="1"/>
  <c r="O435" i="1"/>
  <c r="R435" i="1" s="1"/>
  <c r="X434" i="1"/>
  <c r="W434" i="1"/>
  <c r="N434" i="1"/>
  <c r="L434" i="1"/>
  <c r="K434" i="1"/>
  <c r="J434" i="1"/>
  <c r="I434" i="1"/>
  <c r="O434" i="1"/>
  <c r="X433" i="1"/>
  <c r="W433" i="1"/>
  <c r="N433" i="1"/>
  <c r="L433" i="1"/>
  <c r="K433" i="1"/>
  <c r="J433" i="1"/>
  <c r="I433" i="1"/>
  <c r="O433" i="1"/>
  <c r="R433" i="1" s="1"/>
  <c r="X432" i="1"/>
  <c r="W432" i="1"/>
  <c r="N432" i="1"/>
  <c r="L432" i="1"/>
  <c r="K432" i="1"/>
  <c r="J432" i="1"/>
  <c r="I432" i="1"/>
  <c r="O432" i="1"/>
  <c r="R432" i="1" s="1"/>
  <c r="X431" i="1"/>
  <c r="W431" i="1"/>
  <c r="N431" i="1"/>
  <c r="L431" i="1"/>
  <c r="K431" i="1"/>
  <c r="J431" i="1"/>
  <c r="I431" i="1"/>
  <c r="O431" i="1"/>
  <c r="R431" i="1" s="1"/>
  <c r="X430" i="1"/>
  <c r="W430" i="1"/>
  <c r="N430" i="1"/>
  <c r="L430" i="1"/>
  <c r="K430" i="1"/>
  <c r="J430" i="1"/>
  <c r="I430" i="1"/>
  <c r="O430" i="1"/>
  <c r="R430" i="1" s="1"/>
  <c r="X429" i="1"/>
  <c r="W429" i="1"/>
  <c r="N429" i="1"/>
  <c r="L429" i="1"/>
  <c r="K429" i="1"/>
  <c r="J429" i="1"/>
  <c r="I429" i="1"/>
  <c r="O429" i="1"/>
  <c r="R429" i="1" s="1"/>
  <c r="X428" i="1"/>
  <c r="W428" i="1"/>
  <c r="N428" i="1"/>
  <c r="L428" i="1"/>
  <c r="K428" i="1"/>
  <c r="J428" i="1"/>
  <c r="I428" i="1"/>
  <c r="O428" i="1"/>
  <c r="R428" i="1" s="1"/>
  <c r="X427" i="1"/>
  <c r="W427" i="1"/>
  <c r="N427" i="1"/>
  <c r="L427" i="1"/>
  <c r="K427" i="1"/>
  <c r="J427" i="1"/>
  <c r="I427" i="1"/>
  <c r="O427" i="1"/>
  <c r="R427" i="1" s="1"/>
  <c r="X426" i="1"/>
  <c r="W426" i="1"/>
  <c r="N426" i="1"/>
  <c r="L426" i="1"/>
  <c r="K426" i="1"/>
  <c r="J426" i="1"/>
  <c r="I426" i="1"/>
  <c r="O426" i="1"/>
  <c r="R426" i="1" s="1"/>
  <c r="X425" i="1"/>
  <c r="W425" i="1"/>
  <c r="N425" i="1"/>
  <c r="L425" i="1"/>
  <c r="K425" i="1"/>
  <c r="J425" i="1"/>
  <c r="I425" i="1"/>
  <c r="O425" i="1"/>
  <c r="R425" i="1" s="1"/>
  <c r="X424" i="1"/>
  <c r="W424" i="1"/>
  <c r="N424" i="1"/>
  <c r="L424" i="1"/>
  <c r="K424" i="1"/>
  <c r="J424" i="1"/>
  <c r="O424" i="1"/>
  <c r="R424" i="1" s="1"/>
  <c r="X423" i="1"/>
  <c r="W423" i="1"/>
  <c r="N423" i="1"/>
  <c r="L423" i="1"/>
  <c r="K423" i="1"/>
  <c r="J423" i="1"/>
  <c r="O423" i="1"/>
  <c r="R423" i="1" s="1"/>
  <c r="X422" i="1"/>
  <c r="W422" i="1"/>
  <c r="N422" i="1"/>
  <c r="L422" i="1"/>
  <c r="K422" i="1"/>
  <c r="J422" i="1"/>
  <c r="O422" i="1"/>
  <c r="R422" i="1" s="1"/>
  <c r="X421" i="1"/>
  <c r="W421" i="1"/>
  <c r="N421" i="1"/>
  <c r="L421" i="1"/>
  <c r="K421" i="1"/>
  <c r="J421" i="1"/>
  <c r="O421" i="1"/>
  <c r="R421" i="1" s="1"/>
  <c r="X420" i="1"/>
  <c r="W420" i="1"/>
  <c r="N420" i="1"/>
  <c r="L420" i="1"/>
  <c r="K420" i="1"/>
  <c r="J420" i="1"/>
  <c r="O420" i="1"/>
  <c r="R420" i="1" s="1"/>
  <c r="X419" i="1"/>
  <c r="W419" i="1"/>
  <c r="N419" i="1"/>
  <c r="L419" i="1"/>
  <c r="K419" i="1"/>
  <c r="J419" i="1"/>
  <c r="O419" i="1"/>
  <c r="R419" i="1" s="1"/>
  <c r="X418" i="1"/>
  <c r="W418" i="1"/>
  <c r="N418" i="1"/>
  <c r="L418" i="1"/>
  <c r="K418" i="1"/>
  <c r="J418" i="1"/>
  <c r="O418" i="1"/>
  <c r="R418" i="1" s="1"/>
  <c r="X417" i="1"/>
  <c r="W417" i="1"/>
  <c r="N417" i="1"/>
  <c r="L417" i="1"/>
  <c r="K417" i="1"/>
  <c r="J417" i="1"/>
  <c r="O417" i="1"/>
  <c r="R417" i="1" s="1"/>
  <c r="X416" i="1"/>
  <c r="W416" i="1"/>
  <c r="N416" i="1"/>
  <c r="L416" i="1"/>
  <c r="K416" i="1"/>
  <c r="J416" i="1"/>
  <c r="O416" i="1"/>
  <c r="R416" i="1" s="1"/>
  <c r="X415" i="1"/>
  <c r="W415" i="1"/>
  <c r="N415" i="1"/>
  <c r="L415" i="1"/>
  <c r="K415" i="1"/>
  <c r="J415" i="1"/>
  <c r="O415" i="1"/>
  <c r="R415" i="1" s="1"/>
  <c r="X414" i="1"/>
  <c r="W414" i="1"/>
  <c r="N414" i="1"/>
  <c r="L414" i="1"/>
  <c r="K414" i="1"/>
  <c r="J414" i="1"/>
  <c r="O414" i="1"/>
  <c r="R414" i="1" s="1"/>
  <c r="X413" i="1"/>
  <c r="W413" i="1"/>
  <c r="N413" i="1"/>
  <c r="L413" i="1"/>
  <c r="K413" i="1"/>
  <c r="J413" i="1"/>
  <c r="O413" i="1"/>
  <c r="R413" i="1" s="1"/>
  <c r="X412" i="1"/>
  <c r="W412" i="1"/>
  <c r="N412" i="1"/>
  <c r="L412" i="1"/>
  <c r="K412" i="1"/>
  <c r="J412" i="1"/>
  <c r="O412" i="1"/>
  <c r="R412" i="1" s="1"/>
  <c r="X411" i="1"/>
  <c r="W411" i="1"/>
  <c r="N411" i="1"/>
  <c r="L411" i="1"/>
  <c r="K411" i="1"/>
  <c r="J411" i="1"/>
  <c r="O411" i="1"/>
  <c r="R411" i="1" s="1"/>
  <c r="X410" i="1"/>
  <c r="W410" i="1"/>
  <c r="N410" i="1"/>
  <c r="L410" i="1"/>
  <c r="K410" i="1"/>
  <c r="J410" i="1"/>
  <c r="O410" i="1"/>
  <c r="R410" i="1" s="1"/>
  <c r="X409" i="1"/>
  <c r="W409" i="1"/>
  <c r="N409" i="1"/>
  <c r="L409" i="1"/>
  <c r="K409" i="1"/>
  <c r="J409" i="1"/>
  <c r="O409" i="1"/>
  <c r="R409" i="1" s="1"/>
  <c r="X408" i="1"/>
  <c r="W408" i="1"/>
  <c r="N408" i="1"/>
  <c r="L408" i="1"/>
  <c r="K408" i="1"/>
  <c r="J408" i="1"/>
  <c r="O408" i="1"/>
  <c r="R408" i="1" s="1"/>
  <c r="X407" i="1"/>
  <c r="W407" i="1"/>
  <c r="N407" i="1"/>
  <c r="L407" i="1"/>
  <c r="K407" i="1"/>
  <c r="J407" i="1"/>
  <c r="O407" i="1"/>
  <c r="R407" i="1" s="1"/>
  <c r="X406" i="1"/>
  <c r="W406" i="1"/>
  <c r="N406" i="1"/>
  <c r="L406" i="1"/>
  <c r="K406" i="1"/>
  <c r="J406" i="1"/>
  <c r="O406" i="1"/>
  <c r="R406" i="1" s="1"/>
  <c r="X405" i="1"/>
  <c r="W405" i="1"/>
  <c r="N405" i="1"/>
  <c r="L405" i="1"/>
  <c r="K405" i="1"/>
  <c r="J405" i="1"/>
  <c r="O405" i="1"/>
  <c r="R405" i="1" s="1"/>
  <c r="X404" i="1"/>
  <c r="W404" i="1"/>
  <c r="N404" i="1"/>
  <c r="L404" i="1"/>
  <c r="K404" i="1"/>
  <c r="J404" i="1"/>
  <c r="O404" i="1"/>
  <c r="R404" i="1" s="1"/>
  <c r="X403" i="1"/>
  <c r="W403" i="1"/>
  <c r="N403" i="1"/>
  <c r="L403" i="1"/>
  <c r="K403" i="1"/>
  <c r="J403" i="1"/>
  <c r="O403" i="1"/>
  <c r="R403" i="1" s="1"/>
  <c r="X402" i="1"/>
  <c r="W402" i="1"/>
  <c r="N402" i="1"/>
  <c r="L402" i="1"/>
  <c r="K402" i="1"/>
  <c r="J402" i="1"/>
  <c r="O402" i="1"/>
  <c r="R402" i="1" s="1"/>
  <c r="X401" i="1"/>
  <c r="W401" i="1"/>
  <c r="N401" i="1"/>
  <c r="L401" i="1"/>
  <c r="K401" i="1"/>
  <c r="J401" i="1"/>
  <c r="O401" i="1"/>
  <c r="R401" i="1" s="1"/>
  <c r="X400" i="1"/>
  <c r="W400" i="1"/>
  <c r="N400" i="1"/>
  <c r="L400" i="1"/>
  <c r="K400" i="1"/>
  <c r="J400" i="1"/>
  <c r="O400" i="1"/>
  <c r="R400" i="1" s="1"/>
  <c r="X399" i="1"/>
  <c r="W399" i="1"/>
  <c r="N399" i="1"/>
  <c r="L399" i="1"/>
  <c r="K399" i="1"/>
  <c r="J399" i="1"/>
  <c r="O399" i="1"/>
  <c r="R399" i="1" s="1"/>
  <c r="X398" i="1"/>
  <c r="W398" i="1"/>
  <c r="N398" i="1"/>
  <c r="L398" i="1"/>
  <c r="K398" i="1"/>
  <c r="J398" i="1"/>
  <c r="I398" i="1"/>
  <c r="O398" i="1"/>
  <c r="R398" i="1" s="1"/>
  <c r="X397" i="1"/>
  <c r="W397" i="1"/>
  <c r="N397" i="1"/>
  <c r="L397" i="1"/>
  <c r="K397" i="1"/>
  <c r="J397" i="1"/>
  <c r="I397" i="1"/>
  <c r="O397" i="1"/>
  <c r="R397" i="1" s="1"/>
  <c r="X396" i="1"/>
  <c r="W396" i="1"/>
  <c r="N396" i="1"/>
  <c r="L396" i="1"/>
  <c r="K396" i="1"/>
  <c r="J396" i="1"/>
  <c r="I396" i="1"/>
  <c r="O396" i="1"/>
  <c r="R396" i="1" s="1"/>
  <c r="X395" i="1"/>
  <c r="W395" i="1"/>
  <c r="N395" i="1"/>
  <c r="L395" i="1"/>
  <c r="K395" i="1"/>
  <c r="J395" i="1"/>
  <c r="I395" i="1"/>
  <c r="O395" i="1"/>
  <c r="R395" i="1" s="1"/>
  <c r="X394" i="1"/>
  <c r="W394" i="1"/>
  <c r="N394" i="1"/>
  <c r="L394" i="1"/>
  <c r="K394" i="1"/>
  <c r="J394" i="1"/>
  <c r="I394" i="1"/>
  <c r="O394" i="1"/>
  <c r="R394" i="1" s="1"/>
  <c r="X393" i="1"/>
  <c r="W393" i="1"/>
  <c r="N393" i="1"/>
  <c r="L393" i="1"/>
  <c r="K393" i="1"/>
  <c r="J393" i="1"/>
  <c r="I393" i="1"/>
  <c r="O393" i="1"/>
  <c r="R393" i="1" s="1"/>
  <c r="X392" i="1"/>
  <c r="W392" i="1"/>
  <c r="N392" i="1"/>
  <c r="L392" i="1"/>
  <c r="K392" i="1"/>
  <c r="J392" i="1"/>
  <c r="I392" i="1"/>
  <c r="O392" i="1"/>
  <c r="R392" i="1" s="1"/>
  <c r="X391" i="1"/>
  <c r="W391" i="1"/>
  <c r="N391" i="1"/>
  <c r="L391" i="1"/>
  <c r="K391" i="1"/>
  <c r="J391" i="1"/>
  <c r="I391" i="1"/>
  <c r="O391" i="1"/>
  <c r="R391" i="1" s="1"/>
  <c r="X390" i="1"/>
  <c r="W390" i="1"/>
  <c r="N390" i="1"/>
  <c r="L390" i="1"/>
  <c r="K390" i="1"/>
  <c r="J390" i="1"/>
  <c r="I390" i="1"/>
  <c r="O390" i="1"/>
  <c r="R390" i="1" s="1"/>
  <c r="X389" i="1"/>
  <c r="W389" i="1"/>
  <c r="T389" i="1"/>
  <c r="N389" i="1"/>
  <c r="L389" i="1"/>
  <c r="K389" i="1"/>
  <c r="J389" i="1"/>
  <c r="I389" i="1"/>
  <c r="O389" i="1"/>
  <c r="R389" i="1" s="1"/>
  <c r="X388" i="1"/>
  <c r="W388" i="1"/>
  <c r="N388" i="1"/>
  <c r="L388" i="1"/>
  <c r="K388" i="1"/>
  <c r="J388" i="1"/>
  <c r="I388" i="1"/>
  <c r="O388" i="1"/>
  <c r="R388" i="1" s="1"/>
  <c r="X387" i="1"/>
  <c r="W387" i="1"/>
  <c r="N387" i="1"/>
  <c r="L387" i="1"/>
  <c r="K387" i="1"/>
  <c r="J387" i="1"/>
  <c r="I387" i="1"/>
  <c r="O387" i="1"/>
  <c r="R387" i="1" s="1"/>
  <c r="X386" i="1"/>
  <c r="W386" i="1"/>
  <c r="N386" i="1"/>
  <c r="L386" i="1"/>
  <c r="K386" i="1"/>
  <c r="J386" i="1"/>
  <c r="I386" i="1"/>
  <c r="O386" i="1"/>
  <c r="R386" i="1" s="1"/>
  <c r="X385" i="1"/>
  <c r="W385" i="1"/>
  <c r="N385" i="1"/>
  <c r="L385" i="1"/>
  <c r="K385" i="1"/>
  <c r="J385" i="1"/>
  <c r="I385" i="1"/>
  <c r="O385" i="1"/>
  <c r="X384" i="1"/>
  <c r="W384" i="1"/>
  <c r="N384" i="1"/>
  <c r="L384" i="1"/>
  <c r="K384" i="1"/>
  <c r="J384" i="1"/>
  <c r="I384" i="1"/>
  <c r="O384" i="1"/>
  <c r="R384" i="1" s="1"/>
  <c r="X383" i="1"/>
  <c r="W383" i="1"/>
  <c r="N383" i="1"/>
  <c r="L383" i="1"/>
  <c r="K383" i="1"/>
  <c r="J383" i="1"/>
  <c r="I383" i="1"/>
  <c r="O383" i="1"/>
  <c r="R383" i="1" s="1"/>
  <c r="N382" i="1"/>
  <c r="L382" i="1"/>
  <c r="K382" i="1"/>
  <c r="J382" i="1"/>
  <c r="I382" i="1"/>
  <c r="O382" i="1"/>
  <c r="R382" i="1" s="1"/>
  <c r="N381" i="1"/>
  <c r="L381" i="1"/>
  <c r="K381" i="1"/>
  <c r="J381" i="1"/>
  <c r="I381" i="1"/>
  <c r="O381" i="1"/>
  <c r="R381" i="1" s="1"/>
  <c r="N380" i="1"/>
  <c r="L380" i="1"/>
  <c r="K380" i="1"/>
  <c r="J380" i="1"/>
  <c r="I380" i="1"/>
  <c r="O380" i="1"/>
  <c r="R380" i="1" s="1"/>
  <c r="N379" i="1"/>
  <c r="L379" i="1"/>
  <c r="K379" i="1"/>
  <c r="J379" i="1"/>
  <c r="I379" i="1"/>
  <c r="O379" i="1"/>
  <c r="R379" i="1" s="1"/>
  <c r="N378" i="1"/>
  <c r="L378" i="1"/>
  <c r="K378" i="1"/>
  <c r="J378" i="1"/>
  <c r="I378" i="1"/>
  <c r="O378" i="1"/>
  <c r="R378" i="1" s="1"/>
  <c r="X377" i="1"/>
  <c r="W377" i="1"/>
  <c r="N377" i="1"/>
  <c r="L377" i="1"/>
  <c r="K377" i="1"/>
  <c r="J377" i="1"/>
  <c r="I377" i="1"/>
  <c r="O377" i="1"/>
  <c r="R377" i="1" s="1"/>
  <c r="N376" i="1"/>
  <c r="L376" i="1"/>
  <c r="K376" i="1"/>
  <c r="J376" i="1"/>
  <c r="I376" i="1"/>
  <c r="O376" i="1"/>
  <c r="R376" i="1" s="1"/>
  <c r="X375" i="1"/>
  <c r="W375" i="1"/>
  <c r="N375" i="1"/>
  <c r="L375" i="1"/>
  <c r="K375" i="1"/>
  <c r="J375" i="1"/>
  <c r="I375" i="1"/>
  <c r="O375" i="1"/>
  <c r="R375" i="1" s="1"/>
  <c r="X374" i="1"/>
  <c r="W374" i="1"/>
  <c r="N374" i="1"/>
  <c r="L374" i="1"/>
  <c r="K374" i="1"/>
  <c r="J374" i="1"/>
  <c r="O374" i="1"/>
  <c r="R374" i="1" s="1"/>
  <c r="N373" i="1"/>
  <c r="L373" i="1"/>
  <c r="K373" i="1"/>
  <c r="J373" i="1"/>
  <c r="I373" i="1"/>
  <c r="O373" i="1"/>
  <c r="R373" i="1" s="1"/>
  <c r="N372" i="1"/>
  <c r="L372" i="1"/>
  <c r="K372" i="1"/>
  <c r="J372" i="1"/>
  <c r="I372" i="1"/>
  <c r="O372" i="1"/>
  <c r="N371" i="1"/>
  <c r="L371" i="1"/>
  <c r="K371" i="1"/>
  <c r="J371" i="1"/>
  <c r="I371" i="1"/>
  <c r="O371" i="1"/>
  <c r="R371" i="1" s="1"/>
  <c r="N370" i="1"/>
  <c r="L370" i="1"/>
  <c r="K370" i="1"/>
  <c r="J370" i="1"/>
  <c r="I370" i="1"/>
  <c r="O370" i="1"/>
  <c r="R370" i="1" s="1"/>
  <c r="N369" i="1"/>
  <c r="L369" i="1"/>
  <c r="K369" i="1"/>
  <c r="J369" i="1"/>
  <c r="I369" i="1"/>
  <c r="O369" i="1"/>
  <c r="R369" i="1" s="1"/>
  <c r="N368" i="1"/>
  <c r="L368" i="1"/>
  <c r="K368" i="1"/>
  <c r="J368" i="1"/>
  <c r="I368" i="1"/>
  <c r="O368" i="1"/>
  <c r="R368" i="1" s="1"/>
  <c r="N367" i="1"/>
  <c r="L367" i="1"/>
  <c r="K367" i="1"/>
  <c r="J367" i="1"/>
  <c r="I367" i="1"/>
  <c r="O367" i="1"/>
  <c r="R367" i="1" s="1"/>
  <c r="N366" i="1"/>
  <c r="L366" i="1"/>
  <c r="K366" i="1"/>
  <c r="J366" i="1"/>
  <c r="I366" i="1"/>
  <c r="O366" i="1"/>
  <c r="R366" i="1" s="1"/>
  <c r="N365" i="1"/>
  <c r="L365" i="1"/>
  <c r="K365" i="1"/>
  <c r="J365" i="1"/>
  <c r="I365" i="1"/>
  <c r="O365" i="1"/>
  <c r="R365" i="1" s="1"/>
  <c r="N364" i="1"/>
  <c r="L364" i="1"/>
  <c r="K364" i="1"/>
  <c r="J364" i="1"/>
  <c r="I364" i="1"/>
  <c r="O364" i="1"/>
  <c r="N363" i="1"/>
  <c r="L363" i="1"/>
  <c r="K363" i="1"/>
  <c r="J363" i="1"/>
  <c r="I363" i="1"/>
  <c r="O363" i="1"/>
  <c r="N362" i="1"/>
  <c r="L362" i="1"/>
  <c r="K362" i="1"/>
  <c r="J362" i="1"/>
  <c r="I362" i="1"/>
  <c r="O362" i="1"/>
  <c r="R362" i="1" s="1"/>
  <c r="X361" i="1"/>
  <c r="W361" i="1"/>
  <c r="N361" i="1"/>
  <c r="L361" i="1"/>
  <c r="K361" i="1"/>
  <c r="J361" i="1"/>
  <c r="O361" i="1"/>
  <c r="R361" i="1" s="1"/>
  <c r="X360" i="1"/>
  <c r="W360" i="1"/>
  <c r="N360" i="1"/>
  <c r="L360" i="1"/>
  <c r="K360" i="1"/>
  <c r="J360" i="1"/>
  <c r="O360" i="1"/>
  <c r="R360" i="1" s="1"/>
  <c r="X359" i="1"/>
  <c r="W359" i="1"/>
  <c r="N359" i="1"/>
  <c r="L359" i="1"/>
  <c r="K359" i="1"/>
  <c r="J359" i="1"/>
  <c r="O359" i="1"/>
  <c r="R359" i="1" s="1"/>
  <c r="X358" i="1"/>
  <c r="W358" i="1"/>
  <c r="N358" i="1"/>
  <c r="L358" i="1"/>
  <c r="K358" i="1"/>
  <c r="J358" i="1"/>
  <c r="O358" i="1"/>
  <c r="R358" i="1" s="1"/>
  <c r="X357" i="1"/>
  <c r="W357" i="1"/>
  <c r="N357" i="1"/>
  <c r="L357" i="1"/>
  <c r="K357" i="1"/>
  <c r="J357" i="1"/>
  <c r="O357" i="1"/>
  <c r="R357" i="1" s="1"/>
  <c r="X356" i="1"/>
  <c r="W356" i="1"/>
  <c r="N356" i="1"/>
  <c r="L356" i="1"/>
  <c r="K356" i="1"/>
  <c r="J356" i="1"/>
  <c r="O356" i="1"/>
  <c r="R356" i="1" s="1"/>
  <c r="X355" i="1"/>
  <c r="W355" i="1"/>
  <c r="N355" i="1"/>
  <c r="L355" i="1"/>
  <c r="K355" i="1"/>
  <c r="J355" i="1"/>
  <c r="O355" i="1"/>
  <c r="R355" i="1" s="1"/>
  <c r="X354" i="1"/>
  <c r="W354" i="1"/>
  <c r="N354" i="1"/>
  <c r="L354" i="1"/>
  <c r="K354" i="1"/>
  <c r="J354" i="1"/>
  <c r="O354" i="1"/>
  <c r="R354" i="1" s="1"/>
  <c r="X353" i="1"/>
  <c r="W353" i="1"/>
  <c r="N353" i="1"/>
  <c r="L353" i="1"/>
  <c r="K353" i="1"/>
  <c r="J353" i="1"/>
  <c r="O353" i="1"/>
  <c r="R353" i="1" s="1"/>
  <c r="X352" i="1"/>
  <c r="W352" i="1"/>
  <c r="N352" i="1"/>
  <c r="L352" i="1"/>
  <c r="K352" i="1"/>
  <c r="J352" i="1"/>
  <c r="O352" i="1"/>
  <c r="R352" i="1" s="1"/>
  <c r="N351" i="1"/>
  <c r="L351" i="1"/>
  <c r="K351" i="1"/>
  <c r="J351" i="1"/>
  <c r="I351" i="1"/>
  <c r="O351" i="1"/>
  <c r="R351" i="1" s="1"/>
  <c r="N350" i="1"/>
  <c r="L350" i="1"/>
  <c r="K350" i="1"/>
  <c r="J350" i="1"/>
  <c r="I350" i="1"/>
  <c r="O350" i="1"/>
  <c r="R350" i="1" s="1"/>
  <c r="N349" i="1"/>
  <c r="L349" i="1"/>
  <c r="K349" i="1"/>
  <c r="J349" i="1"/>
  <c r="I349" i="1"/>
  <c r="O349" i="1"/>
  <c r="R349" i="1" s="1"/>
  <c r="N348" i="1"/>
  <c r="L348" i="1"/>
  <c r="K348" i="1"/>
  <c r="J348" i="1"/>
  <c r="I348" i="1"/>
  <c r="O348" i="1"/>
  <c r="R348" i="1" s="1"/>
  <c r="X347" i="1"/>
  <c r="W347" i="1"/>
  <c r="N347" i="1"/>
  <c r="L347" i="1"/>
  <c r="K347" i="1"/>
  <c r="J347" i="1"/>
  <c r="O347" i="1"/>
  <c r="R347" i="1" s="1"/>
  <c r="X346" i="1"/>
  <c r="W346" i="1"/>
  <c r="N346" i="1"/>
  <c r="L346" i="1"/>
  <c r="K346" i="1"/>
  <c r="J346" i="1"/>
  <c r="O346" i="1"/>
  <c r="R346" i="1" s="1"/>
  <c r="X345" i="1"/>
  <c r="W345" i="1"/>
  <c r="N345" i="1"/>
  <c r="L345" i="1"/>
  <c r="K345" i="1"/>
  <c r="J345" i="1"/>
  <c r="O345" i="1"/>
  <c r="X344" i="1"/>
  <c r="W344" i="1"/>
  <c r="N344" i="1"/>
  <c r="L344" i="1"/>
  <c r="K344" i="1"/>
  <c r="J344" i="1"/>
  <c r="O344" i="1"/>
  <c r="R344" i="1" s="1"/>
  <c r="X343" i="1"/>
  <c r="W343" i="1"/>
  <c r="N343" i="1"/>
  <c r="L343" i="1"/>
  <c r="K343" i="1"/>
  <c r="J343" i="1"/>
  <c r="O343" i="1"/>
  <c r="R343" i="1" s="1"/>
  <c r="X342" i="1"/>
  <c r="W342" i="1"/>
  <c r="N342" i="1"/>
  <c r="L342" i="1"/>
  <c r="K342" i="1"/>
  <c r="J342" i="1"/>
  <c r="O342" i="1"/>
  <c r="R342" i="1" s="1"/>
  <c r="X341" i="1"/>
  <c r="W341" i="1"/>
  <c r="N341" i="1"/>
  <c r="L341" i="1"/>
  <c r="K341" i="1"/>
  <c r="J341" i="1"/>
  <c r="O341" i="1"/>
  <c r="R341" i="1" s="1"/>
  <c r="X340" i="1"/>
  <c r="W340" i="1"/>
  <c r="N340" i="1"/>
  <c r="L340" i="1"/>
  <c r="K340" i="1"/>
  <c r="J340" i="1"/>
  <c r="O340" i="1"/>
  <c r="R340" i="1" s="1"/>
  <c r="X339" i="1"/>
  <c r="W339" i="1"/>
  <c r="N339" i="1"/>
  <c r="L339" i="1"/>
  <c r="K339" i="1"/>
  <c r="J339" i="1"/>
  <c r="O339" i="1"/>
  <c r="R339" i="1" s="1"/>
  <c r="X338" i="1"/>
  <c r="W338" i="1"/>
  <c r="N338" i="1"/>
  <c r="L338" i="1"/>
  <c r="K338" i="1"/>
  <c r="J338" i="1"/>
  <c r="O338" i="1"/>
  <c r="R338" i="1" s="1"/>
  <c r="X337" i="1"/>
  <c r="W337" i="1"/>
  <c r="N337" i="1"/>
  <c r="L337" i="1"/>
  <c r="K337" i="1"/>
  <c r="J337" i="1"/>
  <c r="O337" i="1"/>
  <c r="R337" i="1" s="1"/>
  <c r="N336" i="1"/>
  <c r="L336" i="1"/>
  <c r="K336" i="1"/>
  <c r="J336" i="1"/>
  <c r="I336" i="1"/>
  <c r="O336" i="1"/>
  <c r="R336" i="1" s="1"/>
  <c r="N335" i="1"/>
  <c r="L335" i="1"/>
  <c r="K335" i="1"/>
  <c r="J335" i="1"/>
  <c r="I335" i="1"/>
  <c r="O335" i="1"/>
  <c r="R335" i="1" s="1"/>
  <c r="N334" i="1"/>
  <c r="L334" i="1"/>
  <c r="K334" i="1"/>
  <c r="J334" i="1"/>
  <c r="I334" i="1"/>
  <c r="O334" i="1"/>
  <c r="N333" i="1"/>
  <c r="L333" i="1"/>
  <c r="K333" i="1"/>
  <c r="J333" i="1"/>
  <c r="I333" i="1"/>
  <c r="O333" i="1"/>
  <c r="R333" i="1" s="1"/>
  <c r="N332" i="1"/>
  <c r="L332" i="1"/>
  <c r="K332" i="1"/>
  <c r="J332" i="1"/>
  <c r="I332" i="1"/>
  <c r="O332" i="1"/>
  <c r="R332" i="1" s="1"/>
  <c r="N331" i="1"/>
  <c r="L331" i="1"/>
  <c r="K331" i="1"/>
  <c r="J331" i="1"/>
  <c r="I331" i="1"/>
  <c r="O331" i="1"/>
  <c r="R331" i="1" s="1"/>
  <c r="N330" i="1"/>
  <c r="L330" i="1"/>
  <c r="K330" i="1"/>
  <c r="J330" i="1"/>
  <c r="I330" i="1"/>
  <c r="O330" i="1"/>
  <c r="R330" i="1" s="1"/>
  <c r="N329" i="1"/>
  <c r="L329" i="1"/>
  <c r="K329" i="1"/>
  <c r="J329" i="1"/>
  <c r="I329" i="1"/>
  <c r="O329" i="1"/>
  <c r="R329" i="1" s="1"/>
  <c r="N328" i="1"/>
  <c r="L328" i="1"/>
  <c r="K328" i="1"/>
  <c r="J328" i="1"/>
  <c r="I328" i="1"/>
  <c r="O328" i="1"/>
  <c r="R328" i="1" s="1"/>
  <c r="N327" i="1"/>
  <c r="L327" i="1"/>
  <c r="K327" i="1"/>
  <c r="J327" i="1"/>
  <c r="I327" i="1"/>
  <c r="O327" i="1"/>
  <c r="N326" i="1"/>
  <c r="L326" i="1"/>
  <c r="K326" i="1"/>
  <c r="J326" i="1"/>
  <c r="I326" i="1"/>
  <c r="O326" i="1"/>
  <c r="R326" i="1" s="1"/>
  <c r="X325" i="1"/>
  <c r="W325" i="1"/>
  <c r="N325" i="1"/>
  <c r="L325" i="1"/>
  <c r="K325" i="1"/>
  <c r="J325" i="1"/>
  <c r="O325" i="1"/>
  <c r="R325" i="1" s="1"/>
  <c r="X324" i="1"/>
  <c r="W324" i="1"/>
  <c r="N324" i="1"/>
  <c r="L324" i="1"/>
  <c r="K324" i="1"/>
  <c r="J324" i="1"/>
  <c r="O324" i="1"/>
  <c r="R324" i="1" s="1"/>
  <c r="X323" i="1"/>
  <c r="W323" i="1"/>
  <c r="N323" i="1"/>
  <c r="L323" i="1"/>
  <c r="K323" i="1"/>
  <c r="J323" i="1"/>
  <c r="O323" i="1"/>
  <c r="R323" i="1" s="1"/>
  <c r="X322" i="1"/>
  <c r="W322" i="1"/>
  <c r="N322" i="1"/>
  <c r="L322" i="1"/>
  <c r="K322" i="1"/>
  <c r="J322" i="1"/>
  <c r="O322" i="1"/>
  <c r="R322" i="1" s="1"/>
  <c r="X321" i="1"/>
  <c r="W321" i="1"/>
  <c r="N321" i="1"/>
  <c r="L321" i="1"/>
  <c r="K321" i="1"/>
  <c r="J321" i="1"/>
  <c r="O321" i="1"/>
  <c r="R321" i="1" s="1"/>
  <c r="X320" i="1"/>
  <c r="W320" i="1"/>
  <c r="N320" i="1"/>
  <c r="L320" i="1"/>
  <c r="K320" i="1"/>
  <c r="J320" i="1"/>
  <c r="O320" i="1"/>
  <c r="R320" i="1" s="1"/>
  <c r="X319" i="1"/>
  <c r="W319" i="1"/>
  <c r="N319" i="1"/>
  <c r="L319" i="1"/>
  <c r="K319" i="1"/>
  <c r="J319" i="1"/>
  <c r="O319" i="1"/>
  <c r="R319" i="1" s="1"/>
  <c r="X318" i="1"/>
  <c r="W318" i="1"/>
  <c r="N318" i="1"/>
  <c r="L318" i="1"/>
  <c r="K318" i="1"/>
  <c r="J318" i="1"/>
  <c r="O318" i="1"/>
  <c r="R318" i="1" s="1"/>
  <c r="X317" i="1"/>
  <c r="W317" i="1"/>
  <c r="N317" i="1"/>
  <c r="L317" i="1"/>
  <c r="K317" i="1"/>
  <c r="J317" i="1"/>
  <c r="O317" i="1"/>
  <c r="R317" i="1" s="1"/>
  <c r="X316" i="1"/>
  <c r="W316" i="1"/>
  <c r="N316" i="1"/>
  <c r="L316" i="1"/>
  <c r="K316" i="1"/>
  <c r="J316" i="1"/>
  <c r="O316" i="1"/>
  <c r="R316" i="1" s="1"/>
  <c r="X315" i="1"/>
  <c r="W315" i="1"/>
  <c r="N315" i="1"/>
  <c r="L315" i="1"/>
  <c r="K315" i="1"/>
  <c r="J315" i="1"/>
  <c r="O315" i="1"/>
  <c r="R315" i="1" s="1"/>
  <c r="X314" i="1"/>
  <c r="W314" i="1"/>
  <c r="N314" i="1"/>
  <c r="L314" i="1"/>
  <c r="K314" i="1"/>
  <c r="J314" i="1"/>
  <c r="O314" i="1"/>
  <c r="X313" i="1"/>
  <c r="W313" i="1"/>
  <c r="N313" i="1"/>
  <c r="L313" i="1"/>
  <c r="K313" i="1"/>
  <c r="J313" i="1"/>
  <c r="O313" i="1"/>
  <c r="X312" i="1"/>
  <c r="W312" i="1"/>
  <c r="N312" i="1"/>
  <c r="L312" i="1"/>
  <c r="K312" i="1"/>
  <c r="J312" i="1"/>
  <c r="O312" i="1"/>
  <c r="R312" i="1" s="1"/>
  <c r="X311" i="1"/>
  <c r="W311" i="1"/>
  <c r="N311" i="1"/>
  <c r="L311" i="1"/>
  <c r="K311" i="1"/>
  <c r="J311" i="1"/>
  <c r="O311" i="1"/>
  <c r="R311" i="1" s="1"/>
  <c r="X310" i="1"/>
  <c r="W310" i="1"/>
  <c r="N310" i="1"/>
  <c r="L310" i="1"/>
  <c r="K310" i="1"/>
  <c r="J310" i="1"/>
  <c r="O310" i="1"/>
  <c r="R310" i="1" s="1"/>
  <c r="X309" i="1"/>
  <c r="W309" i="1"/>
  <c r="N309" i="1"/>
  <c r="L309" i="1"/>
  <c r="K309" i="1"/>
  <c r="J309" i="1"/>
  <c r="O309" i="1"/>
  <c r="R309" i="1" s="1"/>
  <c r="X308" i="1"/>
  <c r="W308" i="1"/>
  <c r="N308" i="1"/>
  <c r="L308" i="1"/>
  <c r="K308" i="1"/>
  <c r="J308" i="1"/>
  <c r="O308" i="1"/>
  <c r="R308" i="1" s="1"/>
  <c r="X307" i="1"/>
  <c r="W307" i="1"/>
  <c r="N307" i="1"/>
  <c r="L307" i="1"/>
  <c r="K307" i="1"/>
  <c r="J307" i="1"/>
  <c r="O307" i="1"/>
  <c r="R307" i="1" s="1"/>
  <c r="X306" i="1"/>
  <c r="W306" i="1"/>
  <c r="N306" i="1"/>
  <c r="L306" i="1"/>
  <c r="K306" i="1"/>
  <c r="J306" i="1"/>
  <c r="O306" i="1"/>
  <c r="R306" i="1" s="1"/>
  <c r="X305" i="1"/>
  <c r="W305" i="1"/>
  <c r="N305" i="1"/>
  <c r="L305" i="1"/>
  <c r="K305" i="1"/>
  <c r="J305" i="1"/>
  <c r="O305" i="1"/>
  <c r="R305" i="1" s="1"/>
  <c r="X304" i="1"/>
  <c r="W304" i="1"/>
  <c r="N304" i="1"/>
  <c r="L304" i="1"/>
  <c r="K304" i="1"/>
  <c r="J304" i="1"/>
  <c r="O304" i="1"/>
  <c r="R304" i="1" s="1"/>
  <c r="X303" i="1"/>
  <c r="W303" i="1"/>
  <c r="N303" i="1"/>
  <c r="L303" i="1"/>
  <c r="K303" i="1"/>
  <c r="J303" i="1"/>
  <c r="O303" i="1"/>
  <c r="X302" i="1"/>
  <c r="W302" i="1"/>
  <c r="N302" i="1"/>
  <c r="L302" i="1"/>
  <c r="K302" i="1"/>
  <c r="J302" i="1"/>
  <c r="O302" i="1"/>
  <c r="X301" i="1"/>
  <c r="W301" i="1"/>
  <c r="N301" i="1"/>
  <c r="L301" i="1"/>
  <c r="K301" i="1"/>
  <c r="J301" i="1"/>
  <c r="O301" i="1"/>
  <c r="X300" i="1"/>
  <c r="W300" i="1"/>
  <c r="N300" i="1"/>
  <c r="L300" i="1"/>
  <c r="K300" i="1"/>
  <c r="J300" i="1"/>
  <c r="O300" i="1"/>
  <c r="X299" i="1"/>
  <c r="W299" i="1"/>
  <c r="N299" i="1"/>
  <c r="L299" i="1"/>
  <c r="K299" i="1"/>
  <c r="J299" i="1"/>
  <c r="O299" i="1"/>
  <c r="R299" i="1" s="1"/>
  <c r="X298" i="1"/>
  <c r="W298" i="1"/>
  <c r="N298" i="1"/>
  <c r="L298" i="1"/>
  <c r="K298" i="1"/>
  <c r="J298" i="1"/>
  <c r="O298" i="1"/>
  <c r="R298" i="1" s="1"/>
  <c r="X297" i="1"/>
  <c r="W297" i="1"/>
  <c r="N297" i="1"/>
  <c r="L297" i="1"/>
  <c r="K297" i="1"/>
  <c r="J297" i="1"/>
  <c r="O297" i="1"/>
  <c r="X296" i="1"/>
  <c r="W296" i="1"/>
  <c r="N296" i="1"/>
  <c r="L296" i="1"/>
  <c r="K296" i="1"/>
  <c r="J296" i="1"/>
  <c r="O296" i="1"/>
  <c r="R296" i="1" s="1"/>
  <c r="X295" i="1"/>
  <c r="W295" i="1"/>
  <c r="N295" i="1"/>
  <c r="L295" i="1"/>
  <c r="K295" i="1"/>
  <c r="J295" i="1"/>
  <c r="O295" i="1"/>
  <c r="X294" i="1"/>
  <c r="W294" i="1"/>
  <c r="N294" i="1"/>
  <c r="L294" i="1"/>
  <c r="K294" i="1"/>
  <c r="J294" i="1"/>
  <c r="O294" i="1"/>
  <c r="X293" i="1"/>
  <c r="W293" i="1"/>
  <c r="N293" i="1"/>
  <c r="L293" i="1"/>
  <c r="K293" i="1"/>
  <c r="J293" i="1"/>
  <c r="O293" i="1"/>
  <c r="R293" i="1" s="1"/>
  <c r="X292" i="1"/>
  <c r="W292" i="1"/>
  <c r="N292" i="1"/>
  <c r="L292" i="1"/>
  <c r="K292" i="1"/>
  <c r="J292" i="1"/>
  <c r="O292" i="1"/>
  <c r="X291" i="1"/>
  <c r="W291" i="1"/>
  <c r="N291" i="1"/>
  <c r="L291" i="1"/>
  <c r="K291" i="1"/>
  <c r="J291" i="1"/>
  <c r="I291" i="1"/>
  <c r="O291" i="1"/>
  <c r="R291" i="1" s="1"/>
  <c r="X290" i="1"/>
  <c r="W290" i="1"/>
  <c r="N290" i="1"/>
  <c r="L290" i="1"/>
  <c r="K290" i="1"/>
  <c r="J290" i="1"/>
  <c r="I290" i="1"/>
  <c r="O290" i="1"/>
  <c r="R290" i="1" s="1"/>
  <c r="X289" i="1"/>
  <c r="W289" i="1"/>
  <c r="N289" i="1"/>
  <c r="L289" i="1"/>
  <c r="K289" i="1"/>
  <c r="J289" i="1"/>
  <c r="O289" i="1"/>
  <c r="R289" i="1" s="1"/>
  <c r="X288" i="1"/>
  <c r="W288" i="1"/>
  <c r="O288" i="1"/>
  <c r="R288" i="1" s="1"/>
  <c r="N288" i="1"/>
  <c r="L288" i="1"/>
  <c r="K288" i="1"/>
  <c r="J288" i="1"/>
  <c r="X287" i="1"/>
  <c r="W287" i="1"/>
  <c r="O287" i="1"/>
  <c r="R287" i="1" s="1"/>
  <c r="N287" i="1"/>
  <c r="L287" i="1"/>
  <c r="K287" i="1"/>
  <c r="J287" i="1"/>
  <c r="X286" i="1"/>
  <c r="W286" i="1"/>
  <c r="O286" i="1"/>
  <c r="R286" i="1" s="1"/>
  <c r="N286" i="1"/>
  <c r="L286" i="1"/>
  <c r="K286" i="1"/>
  <c r="J286" i="1"/>
  <c r="X285" i="1"/>
  <c r="W285" i="1"/>
  <c r="O285" i="1"/>
  <c r="R285" i="1" s="1"/>
  <c r="N285" i="1"/>
  <c r="L285" i="1"/>
  <c r="K285" i="1"/>
  <c r="J285" i="1"/>
  <c r="X284" i="1"/>
  <c r="W284" i="1"/>
  <c r="O284" i="1"/>
  <c r="N284" i="1"/>
  <c r="L284" i="1"/>
  <c r="K284" i="1"/>
  <c r="J284" i="1"/>
  <c r="X283" i="1"/>
  <c r="W283" i="1"/>
  <c r="O283" i="1"/>
  <c r="R283" i="1" s="1"/>
  <c r="N283" i="1"/>
  <c r="L283" i="1"/>
  <c r="K283" i="1"/>
  <c r="J283" i="1"/>
  <c r="X282" i="1"/>
  <c r="W282" i="1"/>
  <c r="O282" i="1"/>
  <c r="R282" i="1" s="1"/>
  <c r="N282" i="1"/>
  <c r="L282" i="1"/>
  <c r="K282" i="1"/>
  <c r="J282" i="1"/>
  <c r="X281" i="1"/>
  <c r="W281" i="1"/>
  <c r="O281" i="1"/>
  <c r="R281" i="1" s="1"/>
  <c r="N281" i="1"/>
  <c r="L281" i="1"/>
  <c r="K281" i="1"/>
  <c r="J281" i="1"/>
  <c r="X280" i="1"/>
  <c r="W280" i="1"/>
  <c r="O280" i="1"/>
  <c r="R280" i="1" s="1"/>
  <c r="N280" i="1"/>
  <c r="L280" i="1"/>
  <c r="K280" i="1"/>
  <c r="J280" i="1"/>
  <c r="X279" i="1"/>
  <c r="W279" i="1"/>
  <c r="O279" i="1"/>
  <c r="R279" i="1" s="1"/>
  <c r="N279" i="1"/>
  <c r="L279" i="1"/>
  <c r="K279" i="1"/>
  <c r="J279" i="1"/>
  <c r="X278" i="1"/>
  <c r="W278" i="1"/>
  <c r="O278" i="1"/>
  <c r="R278" i="1" s="1"/>
  <c r="N278" i="1"/>
  <c r="L278" i="1"/>
  <c r="K278" i="1"/>
  <c r="J278" i="1"/>
  <c r="X277" i="1"/>
  <c r="W277" i="1"/>
  <c r="O277" i="1"/>
  <c r="R277" i="1" s="1"/>
  <c r="N277" i="1"/>
  <c r="L277" i="1"/>
  <c r="K277" i="1"/>
  <c r="J277" i="1"/>
  <c r="X276" i="1"/>
  <c r="W276" i="1"/>
  <c r="O276" i="1"/>
  <c r="R276" i="1" s="1"/>
  <c r="N276" i="1"/>
  <c r="L276" i="1"/>
  <c r="K276" i="1"/>
  <c r="J276" i="1"/>
  <c r="X275" i="1"/>
  <c r="W275" i="1"/>
  <c r="O275" i="1"/>
  <c r="R275" i="1" s="1"/>
  <c r="N275" i="1"/>
  <c r="L275" i="1"/>
  <c r="K275" i="1"/>
  <c r="J275" i="1"/>
  <c r="X274" i="1"/>
  <c r="W274" i="1"/>
  <c r="O274" i="1"/>
  <c r="R274" i="1" s="1"/>
  <c r="N274" i="1"/>
  <c r="L274" i="1"/>
  <c r="K274" i="1"/>
  <c r="J274" i="1"/>
  <c r="X273" i="1"/>
  <c r="W273" i="1"/>
  <c r="O273" i="1"/>
  <c r="R273" i="1" s="1"/>
  <c r="N273" i="1"/>
  <c r="L273" i="1"/>
  <c r="K273" i="1"/>
  <c r="J273" i="1"/>
  <c r="X272" i="1"/>
  <c r="W272" i="1"/>
  <c r="O272" i="1"/>
  <c r="R272" i="1" s="1"/>
  <c r="N272" i="1"/>
  <c r="L272" i="1"/>
  <c r="K272" i="1"/>
  <c r="J272" i="1"/>
  <c r="X271" i="1"/>
  <c r="W271" i="1"/>
  <c r="O271" i="1"/>
  <c r="R271" i="1" s="1"/>
  <c r="N271" i="1"/>
  <c r="L271" i="1"/>
  <c r="K271" i="1"/>
  <c r="J271" i="1"/>
  <c r="X270" i="1"/>
  <c r="W270" i="1"/>
  <c r="O270" i="1"/>
  <c r="R270" i="1" s="1"/>
  <c r="N270" i="1"/>
  <c r="L270" i="1"/>
  <c r="K270" i="1"/>
  <c r="J270" i="1"/>
  <c r="X269" i="1"/>
  <c r="W269" i="1"/>
  <c r="O269" i="1"/>
  <c r="R269" i="1" s="1"/>
  <c r="N269" i="1"/>
  <c r="L269" i="1"/>
  <c r="K269" i="1"/>
  <c r="J269" i="1"/>
  <c r="X268" i="1"/>
  <c r="W268" i="1"/>
  <c r="O268" i="1"/>
  <c r="R268" i="1" s="1"/>
  <c r="N268" i="1"/>
  <c r="L268" i="1"/>
  <c r="K268" i="1"/>
  <c r="J268" i="1"/>
  <c r="X267" i="1"/>
  <c r="W267" i="1"/>
  <c r="O267" i="1"/>
  <c r="R267" i="1" s="1"/>
  <c r="N267" i="1"/>
  <c r="L267" i="1"/>
  <c r="K267" i="1"/>
  <c r="J267" i="1"/>
  <c r="X266" i="1"/>
  <c r="W266" i="1"/>
  <c r="O266" i="1"/>
  <c r="R266" i="1" s="1"/>
  <c r="N266" i="1"/>
  <c r="L266" i="1"/>
  <c r="K266" i="1"/>
  <c r="J266" i="1"/>
  <c r="X265" i="1"/>
  <c r="W265" i="1"/>
  <c r="O265" i="1"/>
  <c r="R265" i="1" s="1"/>
  <c r="N265" i="1"/>
  <c r="L265" i="1"/>
  <c r="K265" i="1"/>
  <c r="J265" i="1"/>
  <c r="X264" i="1"/>
  <c r="W264" i="1"/>
  <c r="O264" i="1"/>
  <c r="R264" i="1" s="1"/>
  <c r="N264" i="1"/>
  <c r="L264" i="1"/>
  <c r="K264" i="1"/>
  <c r="J264" i="1"/>
  <c r="X263" i="1"/>
  <c r="W263" i="1"/>
  <c r="O263" i="1"/>
  <c r="R263" i="1" s="1"/>
  <c r="N263" i="1"/>
  <c r="L263" i="1"/>
  <c r="K263" i="1"/>
  <c r="J263" i="1"/>
  <c r="X262" i="1"/>
  <c r="W262" i="1"/>
  <c r="O262" i="1"/>
  <c r="R262" i="1" s="1"/>
  <c r="N262" i="1"/>
  <c r="L262" i="1"/>
  <c r="K262" i="1"/>
  <c r="J262" i="1"/>
  <c r="X261" i="1"/>
  <c r="W261" i="1"/>
  <c r="O261" i="1"/>
  <c r="R261" i="1" s="1"/>
  <c r="N261" i="1"/>
  <c r="L261" i="1"/>
  <c r="K261" i="1"/>
  <c r="J261" i="1"/>
  <c r="X260" i="1"/>
  <c r="W260" i="1"/>
  <c r="O260" i="1"/>
  <c r="R260" i="1" s="1"/>
  <c r="N260" i="1"/>
  <c r="L260" i="1"/>
  <c r="K260" i="1"/>
  <c r="J260" i="1"/>
  <c r="X259" i="1"/>
  <c r="W259" i="1"/>
  <c r="O259" i="1"/>
  <c r="R259" i="1" s="1"/>
  <c r="N259" i="1"/>
  <c r="L259" i="1"/>
  <c r="K259" i="1"/>
  <c r="J259" i="1"/>
  <c r="X258" i="1"/>
  <c r="W258" i="1"/>
  <c r="O258" i="1"/>
  <c r="R258" i="1" s="1"/>
  <c r="N258" i="1"/>
  <c r="L258" i="1"/>
  <c r="K258" i="1"/>
  <c r="J258" i="1"/>
  <c r="X257" i="1"/>
  <c r="W257" i="1"/>
  <c r="O257" i="1"/>
  <c r="R257" i="1" s="1"/>
  <c r="N257" i="1"/>
  <c r="L257" i="1"/>
  <c r="K257" i="1"/>
  <c r="J257" i="1"/>
  <c r="X256" i="1"/>
  <c r="W256" i="1"/>
  <c r="N256" i="1"/>
  <c r="L256" i="1"/>
  <c r="K256" i="1"/>
  <c r="J256" i="1"/>
  <c r="O256" i="1"/>
  <c r="R256" i="1" s="1"/>
  <c r="X255" i="1"/>
  <c r="W255" i="1"/>
  <c r="N255" i="1"/>
  <c r="L255" i="1"/>
  <c r="K255" i="1"/>
  <c r="J255" i="1"/>
  <c r="O255" i="1"/>
  <c r="R255" i="1" s="1"/>
  <c r="X254" i="1"/>
  <c r="W254" i="1"/>
  <c r="N254" i="1"/>
  <c r="L254" i="1"/>
  <c r="K254" i="1"/>
  <c r="J254" i="1"/>
  <c r="O254" i="1"/>
  <c r="R254" i="1" s="1"/>
  <c r="X253" i="1"/>
  <c r="W253" i="1"/>
  <c r="N253" i="1"/>
  <c r="L253" i="1"/>
  <c r="K253" i="1"/>
  <c r="J253" i="1"/>
  <c r="O253" i="1"/>
  <c r="R253" i="1" s="1"/>
  <c r="X252" i="1"/>
  <c r="W252" i="1"/>
  <c r="N252" i="1"/>
  <c r="L252" i="1"/>
  <c r="K252" i="1"/>
  <c r="J252" i="1"/>
  <c r="O252" i="1"/>
  <c r="R252" i="1" s="1"/>
  <c r="X251" i="1"/>
  <c r="W251" i="1"/>
  <c r="N251" i="1"/>
  <c r="L251" i="1"/>
  <c r="K251" i="1"/>
  <c r="J251" i="1"/>
  <c r="O251" i="1"/>
  <c r="R251" i="1" s="1"/>
  <c r="X250" i="1"/>
  <c r="W250" i="1"/>
  <c r="N250" i="1"/>
  <c r="L250" i="1"/>
  <c r="K250" i="1"/>
  <c r="J250" i="1"/>
  <c r="O250" i="1"/>
  <c r="R250" i="1" s="1"/>
  <c r="X249" i="1"/>
  <c r="W249" i="1"/>
  <c r="N249" i="1"/>
  <c r="L249" i="1"/>
  <c r="K249" i="1"/>
  <c r="J249" i="1"/>
  <c r="O249" i="1"/>
  <c r="R249" i="1" s="1"/>
  <c r="X248" i="1"/>
  <c r="W248" i="1"/>
  <c r="O248" i="1"/>
  <c r="R248" i="1" s="1"/>
  <c r="N248" i="1"/>
  <c r="L248" i="1"/>
  <c r="K248" i="1"/>
  <c r="J248" i="1"/>
  <c r="I248" i="1"/>
  <c r="X247" i="1"/>
  <c r="W247" i="1"/>
  <c r="O247" i="1"/>
  <c r="R247" i="1" s="1"/>
  <c r="N247" i="1"/>
  <c r="L247" i="1"/>
  <c r="K247" i="1"/>
  <c r="J247" i="1"/>
  <c r="X246" i="1"/>
  <c r="W246" i="1"/>
  <c r="O246" i="1"/>
  <c r="R246" i="1" s="1"/>
  <c r="N246" i="1"/>
  <c r="L246" i="1"/>
  <c r="K246" i="1"/>
  <c r="J246" i="1"/>
  <c r="X245" i="1"/>
  <c r="W245" i="1"/>
  <c r="O245" i="1"/>
  <c r="R245" i="1" s="1"/>
  <c r="N245" i="1"/>
  <c r="L245" i="1"/>
  <c r="J245" i="1"/>
  <c r="X244" i="1"/>
  <c r="W244" i="1"/>
  <c r="O244" i="1"/>
  <c r="R244" i="1" s="1"/>
  <c r="N244" i="1"/>
  <c r="L244" i="1"/>
  <c r="K244" i="1"/>
  <c r="J244" i="1"/>
  <c r="X243" i="1"/>
  <c r="W243" i="1"/>
  <c r="O243" i="1"/>
  <c r="R243" i="1" s="1"/>
  <c r="N243" i="1"/>
  <c r="L243" i="1"/>
  <c r="K243" i="1"/>
  <c r="J243" i="1"/>
  <c r="I243" i="1"/>
  <c r="X242" i="1"/>
  <c r="W242" i="1"/>
  <c r="O242" i="1"/>
  <c r="R242" i="1" s="1"/>
  <c r="N242" i="1"/>
  <c r="L242" i="1"/>
  <c r="K242" i="1"/>
  <c r="J242" i="1"/>
  <c r="I242" i="1"/>
  <c r="X241" i="1"/>
  <c r="W241" i="1"/>
  <c r="O241" i="1"/>
  <c r="R241" i="1" s="1"/>
  <c r="N241" i="1"/>
  <c r="L241" i="1"/>
  <c r="K241" i="1"/>
  <c r="J241" i="1"/>
  <c r="I241" i="1"/>
  <c r="X240" i="1"/>
  <c r="W240" i="1"/>
  <c r="O240" i="1"/>
  <c r="R240" i="1" s="1"/>
  <c r="N240" i="1"/>
  <c r="L240" i="1"/>
  <c r="K240" i="1"/>
  <c r="J240" i="1"/>
  <c r="I240" i="1"/>
  <c r="X239" i="1"/>
  <c r="W239" i="1"/>
  <c r="O239" i="1"/>
  <c r="R239" i="1" s="1"/>
  <c r="N239" i="1"/>
  <c r="L239" i="1"/>
  <c r="K239" i="1"/>
  <c r="J239" i="1"/>
  <c r="I239" i="1"/>
  <c r="X238" i="1"/>
  <c r="W238" i="1"/>
  <c r="O238" i="1"/>
  <c r="R238" i="1" s="1"/>
  <c r="N238" i="1"/>
  <c r="L238" i="1"/>
  <c r="K238" i="1"/>
  <c r="J238" i="1"/>
  <c r="I238" i="1"/>
  <c r="X237" i="1"/>
  <c r="W237" i="1"/>
  <c r="O237" i="1"/>
  <c r="R237" i="1" s="1"/>
  <c r="N237" i="1"/>
  <c r="L237" i="1"/>
  <c r="K237" i="1"/>
  <c r="J237" i="1"/>
  <c r="X236" i="1"/>
  <c r="W236" i="1"/>
  <c r="O236" i="1"/>
  <c r="R236" i="1" s="1"/>
  <c r="N236" i="1"/>
  <c r="L236" i="1"/>
  <c r="K236" i="1"/>
  <c r="J236" i="1"/>
  <c r="X235" i="1"/>
  <c r="W235" i="1"/>
  <c r="O235" i="1"/>
  <c r="R235" i="1" s="1"/>
  <c r="N235" i="1"/>
  <c r="L235" i="1"/>
  <c r="K235" i="1"/>
  <c r="J235" i="1"/>
  <c r="X234" i="1"/>
  <c r="W234" i="1"/>
  <c r="O234" i="1"/>
  <c r="R234" i="1" s="1"/>
  <c r="N234" i="1"/>
  <c r="L234" i="1"/>
  <c r="K234" i="1"/>
  <c r="J234" i="1"/>
  <c r="X233" i="1"/>
  <c r="W233" i="1"/>
  <c r="O233" i="1"/>
  <c r="R233" i="1" s="1"/>
  <c r="N233" i="1"/>
  <c r="L233" i="1"/>
  <c r="K233" i="1"/>
  <c r="J233" i="1"/>
  <c r="X232" i="1"/>
  <c r="W232" i="1"/>
  <c r="O232" i="1"/>
  <c r="R232" i="1" s="1"/>
  <c r="N232" i="1"/>
  <c r="L232" i="1"/>
  <c r="K232" i="1"/>
  <c r="J232" i="1"/>
  <c r="X231" i="1"/>
  <c r="W231" i="1"/>
  <c r="O231" i="1"/>
  <c r="R231" i="1" s="1"/>
  <c r="N231" i="1"/>
  <c r="L231" i="1"/>
  <c r="K231" i="1"/>
  <c r="J231" i="1"/>
  <c r="X230" i="1"/>
  <c r="W230" i="1"/>
  <c r="O230" i="1"/>
  <c r="R230" i="1" s="1"/>
  <c r="N230" i="1"/>
  <c r="L230" i="1"/>
  <c r="K230" i="1"/>
  <c r="J230" i="1"/>
  <c r="X229" i="1"/>
  <c r="W229" i="1"/>
  <c r="O229" i="1"/>
  <c r="R229" i="1" s="1"/>
  <c r="N229" i="1"/>
  <c r="L229" i="1"/>
  <c r="K229" i="1"/>
  <c r="J229" i="1"/>
  <c r="X228" i="1"/>
  <c r="W228" i="1"/>
  <c r="O228" i="1"/>
  <c r="R228" i="1" s="1"/>
  <c r="N228" i="1"/>
  <c r="L228" i="1"/>
  <c r="K228" i="1"/>
  <c r="J228" i="1"/>
  <c r="X227" i="1"/>
  <c r="W227" i="1"/>
  <c r="N227" i="1"/>
  <c r="L227" i="1"/>
  <c r="K227" i="1"/>
  <c r="J227" i="1"/>
  <c r="X226" i="1"/>
  <c r="W226" i="1"/>
  <c r="O226" i="1"/>
  <c r="R226" i="1" s="1"/>
  <c r="N226" i="1"/>
  <c r="L226" i="1"/>
  <c r="K226" i="1"/>
  <c r="J226" i="1"/>
  <c r="X225" i="1"/>
  <c r="W225" i="1"/>
  <c r="O225" i="1"/>
  <c r="R225" i="1" s="1"/>
  <c r="N225" i="1"/>
  <c r="L225" i="1"/>
  <c r="K225" i="1"/>
  <c r="J225" i="1"/>
  <c r="I225" i="1"/>
  <c r="X224" i="1"/>
  <c r="W224" i="1"/>
  <c r="O224" i="1"/>
  <c r="R224" i="1" s="1"/>
  <c r="N224" i="1"/>
  <c r="L224" i="1"/>
  <c r="K224" i="1"/>
  <c r="J224" i="1"/>
  <c r="X223" i="1"/>
  <c r="W223" i="1"/>
  <c r="O223" i="1"/>
  <c r="R223" i="1" s="1"/>
  <c r="N223" i="1"/>
  <c r="L223" i="1"/>
  <c r="K223" i="1"/>
  <c r="J223" i="1"/>
  <c r="X222" i="1"/>
  <c r="W222" i="1"/>
  <c r="N222" i="1"/>
  <c r="L222" i="1"/>
  <c r="K222" i="1"/>
  <c r="J222" i="1"/>
  <c r="I222" i="1"/>
  <c r="O222" i="1"/>
  <c r="R222" i="1" s="1"/>
  <c r="X221" i="1"/>
  <c r="W221" i="1"/>
  <c r="N221" i="1"/>
  <c r="L221" i="1"/>
  <c r="K221" i="1"/>
  <c r="J221" i="1"/>
  <c r="I221" i="1"/>
  <c r="O221" i="1"/>
  <c r="R221" i="1" s="1"/>
  <c r="X220" i="1"/>
  <c r="W220" i="1"/>
  <c r="N220" i="1"/>
  <c r="L220" i="1"/>
  <c r="K220" i="1"/>
  <c r="J220" i="1"/>
  <c r="I220" i="1"/>
  <c r="O220" i="1"/>
  <c r="R220" i="1" s="1"/>
  <c r="X219" i="1"/>
  <c r="W219" i="1"/>
  <c r="N219" i="1"/>
  <c r="L219" i="1"/>
  <c r="K219" i="1"/>
  <c r="J219" i="1"/>
  <c r="I219" i="1"/>
  <c r="O219" i="1"/>
  <c r="R219" i="1" s="1"/>
  <c r="X218" i="1"/>
  <c r="W218" i="1"/>
  <c r="N218" i="1"/>
  <c r="L218" i="1"/>
  <c r="K218" i="1"/>
  <c r="J218" i="1"/>
  <c r="I218" i="1"/>
  <c r="O218" i="1"/>
  <c r="X217" i="1"/>
  <c r="W217" i="1"/>
  <c r="N217" i="1"/>
  <c r="L217" i="1"/>
  <c r="K217" i="1"/>
  <c r="J217" i="1"/>
  <c r="I217" i="1"/>
  <c r="O217" i="1"/>
  <c r="R217" i="1" s="1"/>
  <c r="X216" i="1"/>
  <c r="W216" i="1"/>
  <c r="N216" i="1"/>
  <c r="L216" i="1"/>
  <c r="K216" i="1"/>
  <c r="J216" i="1"/>
  <c r="I216" i="1"/>
  <c r="O216" i="1"/>
  <c r="R216" i="1" s="1"/>
  <c r="X215" i="1"/>
  <c r="W215" i="1"/>
  <c r="N215" i="1"/>
  <c r="L215" i="1"/>
  <c r="K215" i="1"/>
  <c r="J215" i="1"/>
  <c r="I215" i="1"/>
  <c r="O215" i="1"/>
  <c r="R215" i="1" s="1"/>
  <c r="X214" i="1"/>
  <c r="W214" i="1"/>
  <c r="N214" i="1"/>
  <c r="L214" i="1"/>
  <c r="K214" i="1"/>
  <c r="J214" i="1"/>
  <c r="I214" i="1"/>
  <c r="O214" i="1"/>
  <c r="R214" i="1" s="1"/>
  <c r="X213" i="1"/>
  <c r="W213" i="1"/>
  <c r="N213" i="1"/>
  <c r="L213" i="1"/>
  <c r="K213" i="1"/>
  <c r="J213" i="1"/>
  <c r="I213" i="1"/>
  <c r="O213" i="1"/>
  <c r="R213" i="1" s="1"/>
  <c r="X212" i="1"/>
  <c r="W212" i="1"/>
  <c r="N212" i="1"/>
  <c r="L212" i="1"/>
  <c r="K212" i="1"/>
  <c r="J212" i="1"/>
  <c r="I212" i="1"/>
  <c r="O212" i="1"/>
  <c r="R212" i="1" s="1"/>
  <c r="X211" i="1"/>
  <c r="W211" i="1"/>
  <c r="N211" i="1"/>
  <c r="L211" i="1"/>
  <c r="K211" i="1"/>
  <c r="J211" i="1"/>
  <c r="I211" i="1"/>
  <c r="O211" i="1"/>
  <c r="R211" i="1" s="1"/>
  <c r="X210" i="1"/>
  <c r="W210" i="1"/>
  <c r="N210" i="1"/>
  <c r="L210" i="1"/>
  <c r="K210" i="1"/>
  <c r="J210" i="1"/>
  <c r="I210" i="1"/>
  <c r="O210" i="1"/>
  <c r="R210" i="1" s="1"/>
  <c r="X209" i="1"/>
  <c r="W209" i="1"/>
  <c r="N209" i="1"/>
  <c r="L209" i="1"/>
  <c r="K209" i="1"/>
  <c r="J209" i="1"/>
  <c r="I209" i="1"/>
  <c r="O209" i="1"/>
  <c r="R209" i="1" s="1"/>
  <c r="X208" i="1"/>
  <c r="W208" i="1"/>
  <c r="N208" i="1"/>
  <c r="L208" i="1"/>
  <c r="K208" i="1"/>
  <c r="J208" i="1"/>
  <c r="I208" i="1"/>
  <c r="O208" i="1"/>
  <c r="R208" i="1" s="1"/>
  <c r="X207" i="1"/>
  <c r="W207" i="1"/>
  <c r="N207" i="1"/>
  <c r="L207" i="1"/>
  <c r="K207" i="1"/>
  <c r="J207" i="1"/>
  <c r="I207" i="1"/>
  <c r="O207" i="1"/>
  <c r="R207" i="1" s="1"/>
  <c r="X206" i="1"/>
  <c r="W206" i="1"/>
  <c r="N206" i="1"/>
  <c r="L206" i="1"/>
  <c r="K206" i="1"/>
  <c r="J206" i="1"/>
  <c r="I206" i="1"/>
  <c r="O206" i="1"/>
  <c r="R206" i="1" s="1"/>
  <c r="X205" i="1"/>
  <c r="W205" i="1"/>
  <c r="N205" i="1"/>
  <c r="L205" i="1"/>
  <c r="K205" i="1"/>
  <c r="J205" i="1"/>
  <c r="I205" i="1"/>
  <c r="O205" i="1"/>
  <c r="R205" i="1" s="1"/>
  <c r="X204" i="1"/>
  <c r="W204" i="1"/>
  <c r="N204" i="1"/>
  <c r="L204" i="1"/>
  <c r="K204" i="1"/>
  <c r="J204" i="1"/>
  <c r="I204" i="1"/>
  <c r="O204" i="1"/>
  <c r="R204" i="1" s="1"/>
  <c r="X203" i="1"/>
  <c r="W203" i="1"/>
  <c r="N203" i="1"/>
  <c r="L203" i="1"/>
  <c r="K203" i="1"/>
  <c r="J203" i="1"/>
  <c r="I203" i="1"/>
  <c r="O203" i="1"/>
  <c r="R203" i="1" s="1"/>
  <c r="X202" i="1"/>
  <c r="W202" i="1"/>
  <c r="N202" i="1"/>
  <c r="L202" i="1"/>
  <c r="K202" i="1"/>
  <c r="J202" i="1"/>
  <c r="I202" i="1"/>
  <c r="O202" i="1"/>
  <c r="R202" i="1" s="1"/>
  <c r="X201" i="1"/>
  <c r="W201" i="1"/>
  <c r="N201" i="1"/>
  <c r="L201" i="1"/>
  <c r="K201" i="1"/>
  <c r="J201" i="1"/>
  <c r="I201" i="1"/>
  <c r="O201" i="1"/>
  <c r="R201" i="1" s="1"/>
  <c r="X200" i="1"/>
  <c r="W200" i="1"/>
  <c r="N200" i="1"/>
  <c r="L200" i="1"/>
  <c r="K200" i="1"/>
  <c r="J200" i="1"/>
  <c r="I200" i="1"/>
  <c r="O200" i="1"/>
  <c r="R200" i="1" s="1"/>
  <c r="X199" i="1"/>
  <c r="W199" i="1"/>
  <c r="O199" i="1"/>
  <c r="R199" i="1" s="1"/>
  <c r="N199" i="1"/>
  <c r="L199" i="1"/>
  <c r="K199" i="1"/>
  <c r="J199" i="1"/>
  <c r="X198" i="1"/>
  <c r="W198" i="1"/>
  <c r="O198" i="1"/>
  <c r="R198" i="1" s="1"/>
  <c r="N198" i="1"/>
  <c r="L198" i="1"/>
  <c r="K198" i="1"/>
  <c r="J198" i="1"/>
  <c r="X197" i="1"/>
  <c r="W197" i="1"/>
  <c r="O197" i="1"/>
  <c r="R197" i="1" s="1"/>
  <c r="N197" i="1"/>
  <c r="L197" i="1"/>
  <c r="K197" i="1"/>
  <c r="J197" i="1"/>
  <c r="X196" i="1"/>
  <c r="W196" i="1"/>
  <c r="O196" i="1"/>
  <c r="R196" i="1" s="1"/>
  <c r="N196" i="1"/>
  <c r="L196" i="1"/>
  <c r="K196" i="1"/>
  <c r="J196" i="1"/>
  <c r="X195" i="1"/>
  <c r="W195" i="1"/>
  <c r="O195" i="1"/>
  <c r="R195" i="1" s="1"/>
  <c r="N195" i="1"/>
  <c r="L195" i="1"/>
  <c r="K195" i="1"/>
  <c r="J195" i="1"/>
  <c r="X194" i="1"/>
  <c r="W194" i="1"/>
  <c r="O194" i="1"/>
  <c r="R194" i="1" s="1"/>
  <c r="N194" i="1"/>
  <c r="L194" i="1"/>
  <c r="K194" i="1"/>
  <c r="J194" i="1"/>
  <c r="X193" i="1"/>
  <c r="W193" i="1"/>
  <c r="O193" i="1"/>
  <c r="R193" i="1" s="1"/>
  <c r="N193" i="1"/>
  <c r="L193" i="1"/>
  <c r="K193" i="1"/>
  <c r="J193" i="1"/>
  <c r="X192" i="1"/>
  <c r="W192" i="1"/>
  <c r="O192" i="1"/>
  <c r="R192" i="1" s="1"/>
  <c r="N192" i="1"/>
  <c r="L192" i="1"/>
  <c r="K192" i="1"/>
  <c r="J192" i="1"/>
  <c r="X191" i="1"/>
  <c r="W191" i="1"/>
  <c r="O191" i="1"/>
  <c r="R191" i="1" s="1"/>
  <c r="N191" i="1"/>
  <c r="L191" i="1"/>
  <c r="K191" i="1"/>
  <c r="J191" i="1"/>
  <c r="X190" i="1"/>
  <c r="W190" i="1"/>
  <c r="O190" i="1"/>
  <c r="R190" i="1" s="1"/>
  <c r="N190" i="1"/>
  <c r="L190" i="1"/>
  <c r="K190" i="1"/>
  <c r="J190" i="1"/>
  <c r="I190" i="1"/>
  <c r="X189" i="1"/>
  <c r="W189" i="1"/>
  <c r="O189" i="1"/>
  <c r="R189" i="1" s="1"/>
  <c r="N189" i="1"/>
  <c r="L189" i="1"/>
  <c r="K189" i="1"/>
  <c r="J189" i="1"/>
  <c r="I189" i="1"/>
  <c r="X188" i="1"/>
  <c r="W188" i="1"/>
  <c r="O188" i="1"/>
  <c r="R188" i="1" s="1"/>
  <c r="N188" i="1"/>
  <c r="L188" i="1"/>
  <c r="K188" i="1"/>
  <c r="J188" i="1"/>
  <c r="I188" i="1"/>
  <c r="X187" i="1"/>
  <c r="W187" i="1"/>
  <c r="O187" i="1"/>
  <c r="R187" i="1" s="1"/>
  <c r="N187" i="1"/>
  <c r="L187" i="1"/>
  <c r="K187" i="1"/>
  <c r="J187" i="1"/>
  <c r="X186" i="1"/>
  <c r="W186" i="1"/>
  <c r="O186" i="1"/>
  <c r="R186" i="1" s="1"/>
  <c r="N186" i="1"/>
  <c r="L186" i="1"/>
  <c r="K186" i="1"/>
  <c r="J186" i="1"/>
  <c r="I186" i="1"/>
  <c r="X185" i="1"/>
  <c r="W185" i="1"/>
  <c r="O185" i="1"/>
  <c r="N185" i="1"/>
  <c r="L185" i="1"/>
  <c r="K185" i="1"/>
  <c r="J185" i="1"/>
  <c r="I185" i="1"/>
  <c r="X184" i="1"/>
  <c r="W184" i="1"/>
  <c r="O184" i="1"/>
  <c r="R184" i="1" s="1"/>
  <c r="N184" i="1"/>
  <c r="L184" i="1"/>
  <c r="K184" i="1"/>
  <c r="J184" i="1"/>
  <c r="X183" i="1"/>
  <c r="W183" i="1"/>
  <c r="O183" i="1"/>
  <c r="R183" i="1" s="1"/>
  <c r="N183" i="1"/>
  <c r="L183" i="1"/>
  <c r="K183" i="1"/>
  <c r="J183" i="1"/>
  <c r="X182" i="1"/>
  <c r="W182" i="1"/>
  <c r="O182" i="1"/>
  <c r="R182" i="1" s="1"/>
  <c r="N182" i="1"/>
  <c r="L182" i="1"/>
  <c r="K182" i="1"/>
  <c r="J182" i="1"/>
  <c r="X181" i="1"/>
  <c r="W181" i="1"/>
  <c r="O181" i="1"/>
  <c r="R181" i="1" s="1"/>
  <c r="N181" i="1"/>
  <c r="L181" i="1"/>
  <c r="K181" i="1"/>
  <c r="J181" i="1"/>
  <c r="X180" i="1"/>
  <c r="W180" i="1"/>
  <c r="O180" i="1"/>
  <c r="R180" i="1" s="1"/>
  <c r="N180" i="1"/>
  <c r="L180" i="1"/>
  <c r="K180" i="1"/>
  <c r="J180" i="1"/>
  <c r="X179" i="1"/>
  <c r="W179" i="1"/>
  <c r="O179" i="1"/>
  <c r="R179" i="1" s="1"/>
  <c r="N179" i="1"/>
  <c r="L179" i="1"/>
  <c r="K179" i="1"/>
  <c r="J179" i="1"/>
  <c r="X178" i="1"/>
  <c r="W178" i="1"/>
  <c r="O178" i="1"/>
  <c r="N178" i="1"/>
  <c r="L178" i="1"/>
  <c r="K178" i="1"/>
  <c r="J178" i="1"/>
  <c r="X177" i="1"/>
  <c r="W177" i="1"/>
  <c r="O177" i="1"/>
  <c r="R177" i="1" s="1"/>
  <c r="N177" i="1"/>
  <c r="L177" i="1"/>
  <c r="K177" i="1"/>
  <c r="J177" i="1"/>
  <c r="X176" i="1"/>
  <c r="W176" i="1"/>
  <c r="O176" i="1"/>
  <c r="R176" i="1" s="1"/>
  <c r="N176" i="1"/>
  <c r="L176" i="1"/>
  <c r="K176" i="1"/>
  <c r="J176" i="1"/>
  <c r="X175" i="1"/>
  <c r="W175" i="1"/>
  <c r="O175" i="1"/>
  <c r="R175" i="1" s="1"/>
  <c r="N175" i="1"/>
  <c r="L175" i="1"/>
  <c r="K175" i="1"/>
  <c r="J175" i="1"/>
  <c r="X174" i="1"/>
  <c r="W174" i="1"/>
  <c r="O174" i="1"/>
  <c r="R174" i="1" s="1"/>
  <c r="N174" i="1"/>
  <c r="L174" i="1"/>
  <c r="K174" i="1"/>
  <c r="J174" i="1"/>
  <c r="X173" i="1"/>
  <c r="W173" i="1"/>
  <c r="O173" i="1"/>
  <c r="R173" i="1" s="1"/>
  <c r="N173" i="1"/>
  <c r="L173" i="1"/>
  <c r="K173" i="1"/>
  <c r="J173" i="1"/>
  <c r="X172" i="1"/>
  <c r="W172" i="1"/>
  <c r="O172" i="1"/>
  <c r="R172" i="1" s="1"/>
  <c r="N172" i="1"/>
  <c r="L172" i="1"/>
  <c r="K172" i="1"/>
  <c r="J172" i="1"/>
  <c r="X171" i="1"/>
  <c r="W171" i="1"/>
  <c r="R171" i="1"/>
  <c r="N171" i="1"/>
  <c r="L171" i="1"/>
  <c r="K171" i="1"/>
  <c r="J171" i="1"/>
  <c r="X170" i="1"/>
  <c r="W170" i="1"/>
  <c r="N170" i="1"/>
  <c r="L170" i="1"/>
  <c r="K170" i="1"/>
  <c r="J170" i="1"/>
  <c r="O170" i="1"/>
  <c r="R170" i="1" s="1"/>
  <c r="X169" i="1"/>
  <c r="W169" i="1"/>
  <c r="N169" i="1"/>
  <c r="L169" i="1"/>
  <c r="K169" i="1"/>
  <c r="J169" i="1"/>
  <c r="O169" i="1"/>
  <c r="R169" i="1" s="1"/>
  <c r="X168" i="1"/>
  <c r="W168" i="1"/>
  <c r="N168" i="1"/>
  <c r="L168" i="1"/>
  <c r="K168" i="1"/>
  <c r="J168" i="1"/>
  <c r="O168" i="1"/>
  <c r="R168" i="1" s="1"/>
  <c r="X167" i="1"/>
  <c r="W167" i="1"/>
  <c r="N167" i="1"/>
  <c r="L167" i="1"/>
  <c r="K167" i="1"/>
  <c r="J167" i="1"/>
  <c r="I167" i="1"/>
  <c r="O167" i="1"/>
  <c r="R167" i="1" s="1"/>
  <c r="X166" i="1"/>
  <c r="W166" i="1"/>
  <c r="N166" i="1"/>
  <c r="L166" i="1"/>
  <c r="K166" i="1"/>
  <c r="J166" i="1"/>
  <c r="I166" i="1"/>
  <c r="O166" i="1"/>
  <c r="R166" i="1" s="1"/>
  <c r="X165" i="1"/>
  <c r="W165" i="1"/>
  <c r="N165" i="1"/>
  <c r="L165" i="1"/>
  <c r="K165" i="1"/>
  <c r="J165" i="1"/>
  <c r="I165" i="1"/>
  <c r="O165" i="1"/>
  <c r="R165" i="1" s="1"/>
  <c r="X164" i="1"/>
  <c r="W164" i="1"/>
  <c r="N164" i="1"/>
  <c r="L164" i="1"/>
  <c r="K164" i="1"/>
  <c r="J164" i="1"/>
  <c r="I164" i="1"/>
  <c r="O164" i="1"/>
  <c r="R164" i="1" s="1"/>
  <c r="X163" i="1"/>
  <c r="W163" i="1"/>
  <c r="N163" i="1"/>
  <c r="L163" i="1"/>
  <c r="K163" i="1"/>
  <c r="J163" i="1"/>
  <c r="I163" i="1"/>
  <c r="O163" i="1"/>
  <c r="R163" i="1" s="1"/>
  <c r="X162" i="1"/>
  <c r="W162" i="1"/>
  <c r="N162" i="1"/>
  <c r="L162" i="1"/>
  <c r="K162" i="1"/>
  <c r="J162" i="1"/>
  <c r="I162" i="1"/>
  <c r="O162" i="1"/>
  <c r="R162" i="1" s="1"/>
  <c r="X161" i="1"/>
  <c r="W161" i="1"/>
  <c r="N161" i="1"/>
  <c r="L161" i="1"/>
  <c r="K161" i="1"/>
  <c r="J161" i="1"/>
  <c r="I161" i="1"/>
  <c r="O161" i="1"/>
  <c r="R161" i="1" s="1"/>
  <c r="X160" i="1"/>
  <c r="W160" i="1"/>
  <c r="N160" i="1"/>
  <c r="L160" i="1"/>
  <c r="K160" i="1"/>
  <c r="O160" i="1"/>
  <c r="R160" i="1" s="1"/>
  <c r="X159" i="1"/>
  <c r="W159" i="1"/>
  <c r="N159" i="1"/>
  <c r="L159" i="1"/>
  <c r="K159" i="1"/>
  <c r="J159" i="1"/>
  <c r="I159" i="1"/>
  <c r="O159" i="1"/>
  <c r="R159" i="1" s="1"/>
  <c r="X158" i="1"/>
  <c r="W158" i="1"/>
  <c r="N158" i="1"/>
  <c r="L158" i="1"/>
  <c r="K158" i="1"/>
  <c r="J158" i="1"/>
  <c r="I158" i="1"/>
  <c r="O158" i="1"/>
  <c r="R158" i="1" s="1"/>
  <c r="X157" i="1"/>
  <c r="W157" i="1"/>
  <c r="N157" i="1"/>
  <c r="L157" i="1"/>
  <c r="K157" i="1"/>
  <c r="J157" i="1"/>
  <c r="I157" i="1"/>
  <c r="O157" i="1"/>
  <c r="R157" i="1" s="1"/>
  <c r="X156" i="1"/>
  <c r="W156" i="1"/>
  <c r="N156" i="1"/>
  <c r="L156" i="1"/>
  <c r="K156" i="1"/>
  <c r="J156" i="1"/>
  <c r="I156" i="1"/>
  <c r="O156" i="1"/>
  <c r="R156" i="1" s="1"/>
  <c r="X155" i="1"/>
  <c r="W155" i="1"/>
  <c r="N155" i="1"/>
  <c r="L155" i="1"/>
  <c r="K155" i="1"/>
  <c r="J155" i="1"/>
  <c r="I155" i="1"/>
  <c r="O155" i="1"/>
  <c r="R155" i="1" s="1"/>
  <c r="X154" i="1"/>
  <c r="W154" i="1"/>
  <c r="N154" i="1"/>
  <c r="L154" i="1"/>
  <c r="K154" i="1"/>
  <c r="J154" i="1"/>
  <c r="I154" i="1"/>
  <c r="O154" i="1"/>
  <c r="R154" i="1" s="1"/>
  <c r="X153" i="1"/>
  <c r="W153" i="1"/>
  <c r="N153" i="1"/>
  <c r="L153" i="1"/>
  <c r="K153" i="1"/>
  <c r="J153" i="1"/>
  <c r="I153" i="1"/>
  <c r="O153" i="1"/>
  <c r="R153" i="1" s="1"/>
  <c r="X152" i="1"/>
  <c r="W152" i="1"/>
  <c r="I152" i="1"/>
  <c r="X151" i="1"/>
  <c r="W151" i="1"/>
  <c r="O151" i="1"/>
  <c r="R151" i="1" s="1"/>
  <c r="N151" i="1"/>
  <c r="L151" i="1"/>
  <c r="K151" i="1"/>
  <c r="J151" i="1"/>
  <c r="X150" i="1"/>
  <c r="W150" i="1"/>
  <c r="O150" i="1"/>
  <c r="R150" i="1" s="1"/>
  <c r="N150" i="1"/>
  <c r="L150" i="1"/>
  <c r="K150" i="1"/>
  <c r="J150" i="1"/>
  <c r="X149" i="1"/>
  <c r="W149" i="1"/>
  <c r="O149" i="1"/>
  <c r="R149" i="1" s="1"/>
  <c r="N149" i="1"/>
  <c r="L149" i="1"/>
  <c r="K149" i="1"/>
  <c r="J149" i="1"/>
  <c r="X148" i="1"/>
  <c r="W148" i="1"/>
  <c r="O148" i="1"/>
  <c r="N148" i="1"/>
  <c r="L148" i="1"/>
  <c r="K148" i="1"/>
  <c r="J148" i="1"/>
  <c r="X147" i="1"/>
  <c r="W147" i="1"/>
  <c r="O147" i="1"/>
  <c r="R147" i="1" s="1"/>
  <c r="N147" i="1"/>
  <c r="L147" i="1"/>
  <c r="K147" i="1"/>
  <c r="J147" i="1"/>
  <c r="X146" i="1"/>
  <c r="W146" i="1"/>
  <c r="N146" i="1"/>
  <c r="L146" i="1"/>
  <c r="K146" i="1"/>
  <c r="J146" i="1"/>
  <c r="O146" i="1"/>
  <c r="R146" i="1" s="1"/>
  <c r="X145" i="1"/>
  <c r="W145" i="1"/>
  <c r="N145" i="1"/>
  <c r="L145" i="1"/>
  <c r="K145" i="1"/>
  <c r="J145" i="1"/>
  <c r="O145" i="1"/>
  <c r="R145" i="1" s="1"/>
  <c r="X144" i="1"/>
  <c r="W144" i="1"/>
  <c r="N144" i="1"/>
  <c r="L144" i="1"/>
  <c r="K144" i="1"/>
  <c r="J144" i="1"/>
  <c r="O144" i="1"/>
  <c r="R144" i="1" s="1"/>
  <c r="X143" i="1"/>
  <c r="W143" i="1"/>
  <c r="N143" i="1"/>
  <c r="L143" i="1"/>
  <c r="K143" i="1"/>
  <c r="J143" i="1"/>
  <c r="O143" i="1"/>
  <c r="R143" i="1" s="1"/>
  <c r="X142" i="1"/>
  <c r="W142" i="1"/>
  <c r="N142" i="1"/>
  <c r="L142" i="1"/>
  <c r="K142" i="1"/>
  <c r="J142" i="1"/>
  <c r="O142" i="1"/>
  <c r="R142" i="1" s="1"/>
  <c r="X141" i="1"/>
  <c r="W141" i="1"/>
  <c r="N141" i="1"/>
  <c r="L141" i="1"/>
  <c r="K141" i="1"/>
  <c r="J141" i="1"/>
  <c r="O141" i="1"/>
  <c r="R141" i="1" s="1"/>
  <c r="X140" i="1"/>
  <c r="W140" i="1"/>
  <c r="N140" i="1"/>
  <c r="L140" i="1"/>
  <c r="K140" i="1"/>
  <c r="J140" i="1"/>
  <c r="O140" i="1"/>
  <c r="R140" i="1" s="1"/>
  <c r="X139" i="1"/>
  <c r="W139" i="1"/>
  <c r="N139" i="1"/>
  <c r="L139" i="1"/>
  <c r="K139" i="1"/>
  <c r="J139" i="1"/>
  <c r="O139" i="1"/>
  <c r="R139" i="1" s="1"/>
  <c r="X138" i="1"/>
  <c r="W138" i="1"/>
  <c r="N138" i="1"/>
  <c r="L138" i="1"/>
  <c r="K138" i="1"/>
  <c r="J138" i="1"/>
  <c r="O138" i="1"/>
  <c r="R138" i="1" s="1"/>
  <c r="X137" i="1"/>
  <c r="W137" i="1"/>
  <c r="N137" i="1"/>
  <c r="L137" i="1"/>
  <c r="K137" i="1"/>
  <c r="J137" i="1"/>
  <c r="I137" i="1"/>
  <c r="O137" i="1"/>
  <c r="R137" i="1" s="1"/>
  <c r="X136" i="1"/>
  <c r="W136" i="1"/>
  <c r="N136" i="1"/>
  <c r="L136" i="1"/>
  <c r="K136" i="1"/>
  <c r="J136" i="1"/>
  <c r="I136" i="1"/>
  <c r="O136" i="1"/>
  <c r="R136" i="1" s="1"/>
  <c r="X135" i="1"/>
  <c r="W135" i="1"/>
  <c r="N135" i="1"/>
  <c r="L135" i="1"/>
  <c r="K135" i="1"/>
  <c r="J135" i="1"/>
  <c r="I135" i="1"/>
  <c r="O135" i="1"/>
  <c r="R135" i="1" s="1"/>
  <c r="X134" i="1"/>
  <c r="W134" i="1"/>
  <c r="N134" i="1"/>
  <c r="L134" i="1"/>
  <c r="K134" i="1"/>
  <c r="J134" i="1"/>
  <c r="I134" i="1"/>
  <c r="O134" i="1"/>
  <c r="R134" i="1" s="1"/>
  <c r="X133" i="1"/>
  <c r="W133" i="1"/>
  <c r="N133" i="1"/>
  <c r="L133" i="1"/>
  <c r="K133" i="1"/>
  <c r="J133" i="1"/>
  <c r="I133" i="1"/>
  <c r="O133" i="1"/>
  <c r="R133" i="1" s="1"/>
  <c r="X132" i="1"/>
  <c r="W132" i="1"/>
  <c r="N132" i="1"/>
  <c r="L132" i="1"/>
  <c r="K132" i="1"/>
  <c r="J132" i="1"/>
  <c r="I132" i="1"/>
  <c r="O132" i="1"/>
  <c r="R132" i="1" s="1"/>
  <c r="X131" i="1"/>
  <c r="W131" i="1"/>
  <c r="N131" i="1"/>
  <c r="L131" i="1"/>
  <c r="K131" i="1"/>
  <c r="J131" i="1"/>
  <c r="I131" i="1"/>
  <c r="O131" i="1"/>
  <c r="R131" i="1" s="1"/>
  <c r="X130" i="1"/>
  <c r="W130" i="1"/>
  <c r="N130" i="1"/>
  <c r="L130" i="1"/>
  <c r="K130" i="1"/>
  <c r="J130" i="1"/>
  <c r="I130" i="1"/>
  <c r="O130" i="1"/>
  <c r="R130" i="1" s="1"/>
  <c r="X129" i="1"/>
  <c r="W129" i="1"/>
  <c r="N129" i="1"/>
  <c r="L129" i="1"/>
  <c r="K129" i="1"/>
  <c r="J129" i="1"/>
  <c r="I129" i="1"/>
  <c r="O129" i="1"/>
  <c r="R129" i="1" s="1"/>
  <c r="X128" i="1"/>
  <c r="W128" i="1"/>
  <c r="N128" i="1"/>
  <c r="L128" i="1"/>
  <c r="K128" i="1"/>
  <c r="J128" i="1"/>
  <c r="I128" i="1"/>
  <c r="O128" i="1"/>
  <c r="R128" i="1" s="1"/>
  <c r="X127" i="1"/>
  <c r="W127" i="1"/>
  <c r="N127" i="1"/>
  <c r="L127" i="1"/>
  <c r="K127" i="1"/>
  <c r="J127" i="1"/>
  <c r="I127" i="1"/>
  <c r="O127" i="1"/>
  <c r="R127" i="1" s="1"/>
  <c r="X126" i="1"/>
  <c r="W126" i="1"/>
  <c r="N126" i="1"/>
  <c r="L126" i="1"/>
  <c r="K126" i="1"/>
  <c r="J126" i="1"/>
  <c r="I126" i="1"/>
  <c r="O126" i="1"/>
  <c r="R126" i="1" s="1"/>
  <c r="X125" i="1"/>
  <c r="W125" i="1"/>
  <c r="N125" i="1"/>
  <c r="L125" i="1"/>
  <c r="K125" i="1"/>
  <c r="J125" i="1"/>
  <c r="I125" i="1"/>
  <c r="O125" i="1"/>
  <c r="R125" i="1" s="1"/>
  <c r="X124" i="1"/>
  <c r="W124" i="1"/>
  <c r="N124" i="1"/>
  <c r="L124" i="1"/>
  <c r="K124" i="1"/>
  <c r="J124" i="1"/>
  <c r="I124" i="1"/>
  <c r="O124" i="1"/>
  <c r="R124" i="1" s="1"/>
  <c r="X123" i="1"/>
  <c r="W123" i="1"/>
  <c r="N123" i="1"/>
  <c r="L123" i="1"/>
  <c r="K123" i="1"/>
  <c r="J123" i="1"/>
  <c r="I123" i="1"/>
  <c r="O123" i="1"/>
  <c r="R123" i="1" s="1"/>
  <c r="X122" i="1"/>
  <c r="W122" i="1"/>
  <c r="N122" i="1"/>
  <c r="L122" i="1"/>
  <c r="K122" i="1"/>
  <c r="J122" i="1"/>
  <c r="I122" i="1"/>
  <c r="O122" i="1"/>
  <c r="R122" i="1" s="1"/>
  <c r="X121" i="1"/>
  <c r="W121" i="1"/>
  <c r="N121" i="1"/>
  <c r="L121" i="1"/>
  <c r="K121" i="1"/>
  <c r="J121" i="1"/>
  <c r="I121" i="1"/>
  <c r="O121" i="1"/>
  <c r="R121" i="1" s="1"/>
  <c r="X120" i="1"/>
  <c r="W120" i="1"/>
  <c r="N120" i="1"/>
  <c r="L120" i="1"/>
  <c r="K120" i="1"/>
  <c r="J120" i="1"/>
  <c r="I120" i="1"/>
  <c r="O120" i="1"/>
  <c r="R120" i="1" s="1"/>
  <c r="X119" i="1"/>
  <c r="W119" i="1"/>
  <c r="N119" i="1"/>
  <c r="L119" i="1"/>
  <c r="K119" i="1"/>
  <c r="J119" i="1"/>
  <c r="I119" i="1"/>
  <c r="O119" i="1"/>
  <c r="R119" i="1" s="1"/>
  <c r="X118" i="1"/>
  <c r="W118" i="1"/>
  <c r="N118" i="1"/>
  <c r="L118" i="1"/>
  <c r="K118" i="1"/>
  <c r="J118" i="1"/>
  <c r="I118" i="1"/>
  <c r="O118" i="1"/>
  <c r="R118" i="1" s="1"/>
  <c r="X117" i="1"/>
  <c r="W117" i="1"/>
  <c r="N117" i="1"/>
  <c r="L117" i="1"/>
  <c r="K117" i="1"/>
  <c r="J117" i="1"/>
  <c r="I117" i="1"/>
  <c r="O117" i="1"/>
  <c r="R117" i="1" s="1"/>
  <c r="X116" i="1"/>
  <c r="W116" i="1"/>
  <c r="N116" i="1"/>
  <c r="L116" i="1"/>
  <c r="K116" i="1"/>
  <c r="J116" i="1"/>
  <c r="I116" i="1"/>
  <c r="O116" i="1"/>
  <c r="R116" i="1" s="1"/>
  <c r="X115" i="1"/>
  <c r="W115" i="1"/>
  <c r="N115" i="1"/>
  <c r="L115" i="1"/>
  <c r="K115" i="1"/>
  <c r="J115" i="1"/>
  <c r="I115" i="1"/>
  <c r="O115" i="1"/>
  <c r="R115" i="1" s="1"/>
  <c r="X114" i="1"/>
  <c r="W114" i="1"/>
  <c r="N114" i="1"/>
  <c r="L114" i="1"/>
  <c r="K114" i="1"/>
  <c r="J114" i="1"/>
  <c r="I114" i="1"/>
  <c r="O114" i="1"/>
  <c r="R114" i="1" s="1"/>
  <c r="X113" i="1"/>
  <c r="W113" i="1"/>
  <c r="N113" i="1"/>
  <c r="L113" i="1"/>
  <c r="K113" i="1"/>
  <c r="J113" i="1"/>
  <c r="I113" i="1"/>
  <c r="O113" i="1"/>
  <c r="R113" i="1" s="1"/>
  <c r="X112" i="1"/>
  <c r="W112" i="1"/>
  <c r="N112" i="1"/>
  <c r="L112" i="1"/>
  <c r="K112" i="1"/>
  <c r="J112" i="1"/>
  <c r="I112" i="1"/>
  <c r="O112" i="1"/>
  <c r="R112" i="1" s="1"/>
  <c r="X111" i="1"/>
  <c r="W111" i="1"/>
  <c r="N111" i="1"/>
  <c r="L111" i="1"/>
  <c r="K111" i="1"/>
  <c r="J111" i="1"/>
  <c r="I111" i="1"/>
  <c r="O111" i="1"/>
  <c r="R111" i="1" s="1"/>
  <c r="X110" i="1"/>
  <c r="W110" i="1"/>
  <c r="N110" i="1"/>
  <c r="L110" i="1"/>
  <c r="K110" i="1"/>
  <c r="J110" i="1"/>
  <c r="I110" i="1"/>
  <c r="O110" i="1"/>
  <c r="R110" i="1" s="1"/>
  <c r="X109" i="1"/>
  <c r="W109" i="1"/>
  <c r="N109" i="1"/>
  <c r="L109" i="1"/>
  <c r="K109" i="1"/>
  <c r="J109" i="1"/>
  <c r="I109" i="1"/>
  <c r="O109" i="1"/>
  <c r="R109" i="1" s="1"/>
  <c r="X108" i="1"/>
  <c r="W108" i="1"/>
  <c r="N108" i="1"/>
  <c r="L108" i="1"/>
  <c r="K108" i="1"/>
  <c r="J108" i="1"/>
  <c r="I108" i="1"/>
  <c r="O108" i="1"/>
  <c r="R108" i="1" s="1"/>
  <c r="X107" i="1"/>
  <c r="W107" i="1"/>
  <c r="N107" i="1"/>
  <c r="L107" i="1"/>
  <c r="K107" i="1"/>
  <c r="J107" i="1"/>
  <c r="I107" i="1"/>
  <c r="O107" i="1"/>
  <c r="R107" i="1" s="1"/>
  <c r="X106" i="1"/>
  <c r="W106" i="1"/>
  <c r="N106" i="1"/>
  <c r="L106" i="1"/>
  <c r="K106" i="1"/>
  <c r="J106" i="1"/>
  <c r="I106" i="1"/>
  <c r="O106" i="1"/>
  <c r="R106" i="1" s="1"/>
  <c r="X105" i="1"/>
  <c r="W105" i="1"/>
  <c r="N105" i="1"/>
  <c r="L105" i="1"/>
  <c r="K105" i="1"/>
  <c r="J105" i="1"/>
  <c r="I105" i="1"/>
  <c r="O105" i="1"/>
  <c r="R105" i="1" s="1"/>
  <c r="X104" i="1"/>
  <c r="W104" i="1"/>
  <c r="N104" i="1"/>
  <c r="L104" i="1"/>
  <c r="K104" i="1"/>
  <c r="J104" i="1"/>
  <c r="I104" i="1"/>
  <c r="O104" i="1"/>
  <c r="R104" i="1" s="1"/>
  <c r="X103" i="1"/>
  <c r="W103" i="1"/>
  <c r="N103" i="1"/>
  <c r="L103" i="1"/>
  <c r="K103" i="1"/>
  <c r="J103" i="1"/>
  <c r="I103" i="1"/>
  <c r="O103" i="1"/>
  <c r="R103" i="1" s="1"/>
  <c r="X102" i="1"/>
  <c r="W102" i="1"/>
  <c r="N102" i="1"/>
  <c r="L102" i="1"/>
  <c r="K102" i="1"/>
  <c r="J102" i="1"/>
  <c r="I102" i="1"/>
  <c r="O102" i="1"/>
  <c r="R102" i="1" s="1"/>
  <c r="X101" i="1"/>
  <c r="W101" i="1"/>
  <c r="N101" i="1"/>
  <c r="L101" i="1"/>
  <c r="K101" i="1"/>
  <c r="J101" i="1"/>
  <c r="I101" i="1"/>
  <c r="O101" i="1"/>
  <c r="R101" i="1" s="1"/>
  <c r="X100" i="1"/>
  <c r="W100" i="1"/>
  <c r="N100" i="1"/>
  <c r="L100" i="1"/>
  <c r="K100" i="1"/>
  <c r="J100" i="1"/>
  <c r="I100" i="1"/>
  <c r="O100" i="1"/>
  <c r="R100" i="1" s="1"/>
  <c r="X99" i="1"/>
  <c r="W99" i="1"/>
  <c r="N99" i="1"/>
  <c r="L99" i="1"/>
  <c r="K99" i="1"/>
  <c r="J99" i="1"/>
  <c r="I99" i="1"/>
  <c r="O99" i="1"/>
  <c r="R99" i="1" s="1"/>
  <c r="X98" i="1"/>
  <c r="W98" i="1"/>
  <c r="N98" i="1"/>
  <c r="L98" i="1"/>
  <c r="K98" i="1"/>
  <c r="J98" i="1"/>
  <c r="I98" i="1"/>
  <c r="O98" i="1"/>
  <c r="R98" i="1" s="1"/>
  <c r="X97" i="1"/>
  <c r="W97" i="1"/>
  <c r="N97" i="1"/>
  <c r="L97" i="1"/>
  <c r="K97" i="1"/>
  <c r="J97" i="1"/>
  <c r="I97" i="1"/>
  <c r="O97" i="1"/>
  <c r="R97" i="1" s="1"/>
  <c r="X96" i="1"/>
  <c r="W96" i="1"/>
  <c r="N96" i="1"/>
  <c r="L96" i="1"/>
  <c r="K96" i="1"/>
  <c r="J96" i="1"/>
  <c r="I96" i="1"/>
  <c r="O96" i="1"/>
  <c r="R96" i="1" s="1"/>
  <c r="X95" i="1"/>
  <c r="W95" i="1"/>
  <c r="N95" i="1"/>
  <c r="L95" i="1"/>
  <c r="K95" i="1"/>
  <c r="J95" i="1"/>
  <c r="O95" i="1"/>
  <c r="R95" i="1" s="1"/>
  <c r="X94" i="1"/>
  <c r="W94" i="1"/>
  <c r="N94" i="1"/>
  <c r="L94" i="1"/>
  <c r="K94" i="1"/>
  <c r="J94" i="1"/>
  <c r="O94" i="1"/>
  <c r="R94" i="1" s="1"/>
  <c r="X93" i="1"/>
  <c r="W93" i="1"/>
  <c r="N93" i="1"/>
  <c r="L93" i="1"/>
  <c r="K93" i="1"/>
  <c r="J93" i="1"/>
  <c r="O93" i="1"/>
  <c r="R93" i="1" s="1"/>
  <c r="X92" i="1"/>
  <c r="W92" i="1"/>
  <c r="N92" i="1"/>
  <c r="L92" i="1"/>
  <c r="K92" i="1"/>
  <c r="J92" i="1"/>
  <c r="O92" i="1"/>
  <c r="X91" i="1"/>
  <c r="W91" i="1"/>
  <c r="N91" i="1"/>
  <c r="L91" i="1"/>
  <c r="K91" i="1"/>
  <c r="J91" i="1"/>
  <c r="O91" i="1"/>
  <c r="X90" i="1"/>
  <c r="W90" i="1"/>
  <c r="N90" i="1"/>
  <c r="L90" i="1"/>
  <c r="K90" i="1"/>
  <c r="J90" i="1"/>
  <c r="O90" i="1"/>
  <c r="R90" i="1" s="1"/>
  <c r="X89" i="1"/>
  <c r="W89" i="1"/>
  <c r="N89" i="1"/>
  <c r="L89" i="1"/>
  <c r="K89" i="1"/>
  <c r="J89" i="1"/>
  <c r="O89" i="1"/>
  <c r="AA88" i="1"/>
  <c r="Z88" i="1"/>
  <c r="Y88" i="1"/>
  <c r="X88" i="1"/>
  <c r="W88" i="1"/>
  <c r="N88" i="1"/>
  <c r="L88" i="1"/>
  <c r="K88" i="1"/>
  <c r="J88" i="1"/>
  <c r="O88" i="1"/>
  <c r="R88" i="1" s="1"/>
  <c r="X87" i="1"/>
  <c r="W87" i="1"/>
  <c r="N87" i="1"/>
  <c r="L87" i="1"/>
  <c r="K87" i="1"/>
  <c r="J87" i="1"/>
  <c r="O87" i="1"/>
  <c r="R87" i="1" s="1"/>
  <c r="X86" i="1"/>
  <c r="W86" i="1"/>
  <c r="N86" i="1"/>
  <c r="L86" i="1"/>
  <c r="K86" i="1"/>
  <c r="J86" i="1"/>
  <c r="O86" i="1"/>
  <c r="R86" i="1" s="1"/>
  <c r="X85" i="1"/>
  <c r="W85" i="1"/>
  <c r="N85" i="1"/>
  <c r="L85" i="1"/>
  <c r="K85" i="1"/>
  <c r="J85" i="1"/>
  <c r="O85" i="1"/>
  <c r="R85" i="1" s="1"/>
  <c r="X84" i="1"/>
  <c r="W84" i="1"/>
  <c r="N84" i="1"/>
  <c r="L84" i="1"/>
  <c r="K84" i="1"/>
  <c r="J84" i="1"/>
  <c r="O84" i="1"/>
  <c r="R84" i="1" s="1"/>
  <c r="X83" i="1"/>
  <c r="W83" i="1"/>
  <c r="N83" i="1"/>
  <c r="L83" i="1"/>
  <c r="K83" i="1"/>
  <c r="J83" i="1"/>
  <c r="O83" i="1"/>
  <c r="R83" i="1" s="1"/>
  <c r="X82" i="1"/>
  <c r="W82" i="1"/>
  <c r="N82" i="1"/>
  <c r="L82" i="1"/>
  <c r="K82" i="1"/>
  <c r="J82" i="1"/>
  <c r="O82" i="1"/>
  <c r="R82" i="1" s="1"/>
  <c r="X81" i="1"/>
  <c r="W81" i="1"/>
  <c r="N81" i="1"/>
  <c r="L81" i="1"/>
  <c r="K81" i="1"/>
  <c r="J81" i="1"/>
  <c r="O81" i="1"/>
  <c r="R81" i="1" s="1"/>
  <c r="X80" i="1"/>
  <c r="W80" i="1"/>
  <c r="N80" i="1"/>
  <c r="L80" i="1"/>
  <c r="K80" i="1"/>
  <c r="J80" i="1"/>
  <c r="O80" i="1"/>
  <c r="R80" i="1" s="1"/>
  <c r="X79" i="1"/>
  <c r="W79" i="1"/>
  <c r="N79" i="1"/>
  <c r="L79" i="1"/>
  <c r="K79" i="1"/>
  <c r="J79" i="1"/>
  <c r="I79" i="1"/>
  <c r="O79" i="1"/>
  <c r="R79" i="1" s="1"/>
  <c r="X78" i="1"/>
  <c r="W78" i="1"/>
  <c r="N78" i="1"/>
  <c r="L78" i="1"/>
  <c r="K78" i="1"/>
  <c r="J78" i="1"/>
  <c r="I78" i="1"/>
  <c r="O78" i="1"/>
  <c r="R78" i="1" s="1"/>
  <c r="X77" i="1"/>
  <c r="W77" i="1"/>
  <c r="N77" i="1"/>
  <c r="L77" i="1"/>
  <c r="K77" i="1"/>
  <c r="J77" i="1"/>
  <c r="I77" i="1"/>
  <c r="O77" i="1"/>
  <c r="R77" i="1" s="1"/>
  <c r="X76" i="1"/>
  <c r="W76" i="1"/>
  <c r="N76" i="1"/>
  <c r="L76" i="1"/>
  <c r="K76" i="1"/>
  <c r="J76" i="1"/>
  <c r="O76" i="1"/>
  <c r="R76" i="1" s="1"/>
  <c r="X75" i="1"/>
  <c r="W75" i="1"/>
  <c r="N75" i="1"/>
  <c r="L75" i="1"/>
  <c r="K75" i="1"/>
  <c r="J75" i="1"/>
  <c r="O75" i="1"/>
  <c r="R75" i="1" s="1"/>
  <c r="X74" i="1"/>
  <c r="W74" i="1"/>
  <c r="N74" i="1"/>
  <c r="L74" i="1"/>
  <c r="K74" i="1"/>
  <c r="J74" i="1"/>
  <c r="I74" i="1"/>
  <c r="O74" i="1"/>
  <c r="R74" i="1" s="1"/>
  <c r="X73" i="1"/>
  <c r="W73" i="1"/>
  <c r="N73" i="1"/>
  <c r="L73" i="1"/>
  <c r="K73" i="1"/>
  <c r="J73" i="1"/>
  <c r="I73" i="1"/>
  <c r="O73" i="1"/>
  <c r="R73" i="1" s="1"/>
  <c r="X72" i="1"/>
  <c r="W72" i="1"/>
  <c r="N72" i="1"/>
  <c r="L72" i="1"/>
  <c r="K72" i="1"/>
  <c r="J72" i="1"/>
  <c r="I72" i="1"/>
  <c r="O72" i="1"/>
  <c r="R72" i="1" s="1"/>
  <c r="X71" i="1"/>
  <c r="W71" i="1"/>
  <c r="N71" i="1"/>
  <c r="L71" i="1"/>
  <c r="K71" i="1"/>
  <c r="J71" i="1"/>
  <c r="I71" i="1"/>
  <c r="O71" i="1"/>
  <c r="R71" i="1" s="1"/>
  <c r="X70" i="1"/>
  <c r="W70" i="1"/>
  <c r="N70" i="1"/>
  <c r="L70" i="1"/>
  <c r="K70" i="1"/>
  <c r="J70" i="1"/>
  <c r="I70" i="1"/>
  <c r="O70" i="1"/>
  <c r="R70" i="1" s="1"/>
  <c r="X69" i="1"/>
  <c r="W69" i="1"/>
  <c r="N69" i="1"/>
  <c r="L69" i="1"/>
  <c r="K69" i="1"/>
  <c r="J69" i="1"/>
  <c r="I69" i="1"/>
  <c r="O69" i="1"/>
  <c r="R69" i="1" s="1"/>
  <c r="X68" i="1"/>
  <c r="W68" i="1"/>
  <c r="N68" i="1"/>
  <c r="L68" i="1"/>
  <c r="K68" i="1"/>
  <c r="J68" i="1"/>
  <c r="I68" i="1"/>
  <c r="O68" i="1"/>
  <c r="R68" i="1" s="1"/>
  <c r="X67" i="1"/>
  <c r="W67" i="1"/>
  <c r="N67" i="1"/>
  <c r="L67" i="1"/>
  <c r="K67" i="1"/>
  <c r="J67" i="1"/>
  <c r="I67" i="1"/>
  <c r="O67" i="1"/>
  <c r="R67" i="1" s="1"/>
  <c r="X66" i="1"/>
  <c r="W66" i="1"/>
  <c r="N66" i="1"/>
  <c r="L66" i="1"/>
  <c r="K66" i="1"/>
  <c r="J66" i="1"/>
  <c r="I66" i="1"/>
  <c r="O66" i="1"/>
  <c r="R66" i="1" s="1"/>
  <c r="X65" i="1"/>
  <c r="W65" i="1"/>
  <c r="N65" i="1"/>
  <c r="L65" i="1"/>
  <c r="K65" i="1"/>
  <c r="J65" i="1"/>
  <c r="I65" i="1"/>
  <c r="O65" i="1"/>
  <c r="R65" i="1" s="1"/>
  <c r="X64" i="1"/>
  <c r="W64" i="1"/>
  <c r="N64" i="1"/>
  <c r="L64" i="1"/>
  <c r="K64" i="1"/>
  <c r="J64" i="1"/>
  <c r="I64" i="1"/>
  <c r="O64" i="1"/>
  <c r="R64" i="1" s="1"/>
  <c r="X63" i="1"/>
  <c r="W63" i="1"/>
  <c r="N63" i="1"/>
  <c r="L63" i="1"/>
  <c r="K63" i="1"/>
  <c r="J63" i="1"/>
  <c r="I63" i="1"/>
  <c r="O63" i="1"/>
  <c r="R63" i="1" s="1"/>
  <c r="R62" i="1"/>
  <c r="I62" i="1"/>
  <c r="R61" i="1"/>
  <c r="I61" i="1"/>
  <c r="R60" i="1"/>
  <c r="I60" i="1"/>
  <c r="R59" i="1"/>
  <c r="I59" i="1"/>
  <c r="R58" i="1"/>
  <c r="I58" i="1"/>
  <c r="R57" i="1"/>
  <c r="I57" i="1"/>
  <c r="X56" i="1"/>
  <c r="W56" i="1"/>
  <c r="N56" i="1"/>
  <c r="L56" i="1"/>
  <c r="K56" i="1"/>
  <c r="J56" i="1"/>
  <c r="O56" i="1"/>
  <c r="X55" i="1"/>
  <c r="W55" i="1"/>
  <c r="N55" i="1"/>
  <c r="L55" i="1"/>
  <c r="K55" i="1"/>
  <c r="J55" i="1"/>
  <c r="O55" i="1"/>
  <c r="X54" i="1"/>
  <c r="W54" i="1"/>
  <c r="N54" i="1"/>
  <c r="L54" i="1"/>
  <c r="K54" i="1"/>
  <c r="J54" i="1"/>
  <c r="O54" i="1"/>
  <c r="R54" i="1" s="1"/>
  <c r="X53" i="1"/>
  <c r="W53" i="1"/>
  <c r="N53" i="1"/>
  <c r="L53" i="1"/>
  <c r="K53" i="1"/>
  <c r="J53" i="1"/>
  <c r="O53" i="1"/>
  <c r="R53" i="1" s="1"/>
  <c r="X52" i="1"/>
  <c r="W52" i="1"/>
  <c r="N52" i="1"/>
  <c r="L52" i="1"/>
  <c r="K52" i="1"/>
  <c r="J52" i="1"/>
  <c r="O52" i="1"/>
  <c r="R52" i="1" s="1"/>
  <c r="X51" i="1"/>
  <c r="W51" i="1"/>
  <c r="N51" i="1"/>
  <c r="L51" i="1"/>
  <c r="K51" i="1"/>
  <c r="J51" i="1"/>
  <c r="O51" i="1"/>
  <c r="R51" i="1" s="1"/>
  <c r="X50" i="1"/>
  <c r="W50" i="1"/>
  <c r="N50" i="1"/>
  <c r="L50" i="1"/>
  <c r="K50" i="1"/>
  <c r="J50" i="1"/>
  <c r="O50" i="1"/>
  <c r="R50" i="1" s="1"/>
  <c r="X49" i="1"/>
  <c r="W49" i="1"/>
  <c r="N49" i="1"/>
  <c r="L49" i="1"/>
  <c r="K49" i="1"/>
  <c r="J49" i="1"/>
  <c r="O49" i="1"/>
  <c r="R49" i="1" s="1"/>
  <c r="X48" i="1"/>
  <c r="W48" i="1"/>
  <c r="N48" i="1"/>
  <c r="L48" i="1"/>
  <c r="K48" i="1"/>
  <c r="J48" i="1"/>
  <c r="O48" i="1"/>
  <c r="R48" i="1" s="1"/>
  <c r="X47" i="1"/>
  <c r="W47" i="1"/>
  <c r="N47" i="1"/>
  <c r="L47" i="1"/>
  <c r="K47" i="1"/>
  <c r="J47" i="1"/>
  <c r="O47" i="1"/>
  <c r="R47" i="1" s="1"/>
  <c r="X46" i="1"/>
  <c r="W46" i="1"/>
  <c r="N46" i="1"/>
  <c r="L46" i="1"/>
  <c r="K46" i="1"/>
  <c r="J46" i="1"/>
  <c r="O46" i="1"/>
  <c r="R46" i="1" s="1"/>
  <c r="X45" i="1"/>
  <c r="W45" i="1"/>
  <c r="N45" i="1"/>
  <c r="L45" i="1"/>
  <c r="K45" i="1"/>
  <c r="J45" i="1"/>
  <c r="O45" i="1"/>
  <c r="R45" i="1" s="1"/>
  <c r="O44" i="1"/>
  <c r="R44" i="1" s="1"/>
  <c r="O43" i="1"/>
  <c r="R43" i="1" s="1"/>
  <c r="R42" i="1"/>
  <c r="O41" i="1"/>
  <c r="R41" i="1" s="1"/>
  <c r="O40" i="1"/>
  <c r="R40" i="1" s="1"/>
  <c r="O38" i="1"/>
  <c r="R38" i="1" s="1"/>
  <c r="O37" i="1"/>
  <c r="R37" i="1" s="1"/>
  <c r="O36" i="1"/>
  <c r="R36" i="1" s="1"/>
  <c r="O35" i="1"/>
  <c r="R35" i="1" s="1"/>
  <c r="O34" i="1"/>
  <c r="R34" i="1" s="1"/>
  <c r="O33" i="1"/>
  <c r="O32" i="1"/>
  <c r="P32" i="1" s="1"/>
  <c r="O31" i="1"/>
  <c r="R31" i="1" s="1"/>
  <c r="X30" i="1"/>
  <c r="W30" i="1"/>
  <c r="N30" i="1"/>
  <c r="L30" i="1"/>
  <c r="K30" i="1"/>
  <c r="J30" i="1"/>
  <c r="O30" i="1"/>
  <c r="R30" i="1" s="1"/>
  <c r="X29" i="1"/>
  <c r="W29" i="1"/>
  <c r="N29" i="1"/>
  <c r="L29" i="1"/>
  <c r="K29" i="1"/>
  <c r="J29" i="1"/>
  <c r="O29" i="1"/>
  <c r="X28" i="1"/>
  <c r="W28" i="1"/>
  <c r="N28" i="1"/>
  <c r="L28" i="1"/>
  <c r="K28" i="1"/>
  <c r="J28" i="1"/>
  <c r="O28" i="1"/>
  <c r="X27" i="1"/>
  <c r="W27" i="1"/>
  <c r="N27" i="1"/>
  <c r="L27" i="1"/>
  <c r="K27" i="1"/>
  <c r="J27" i="1"/>
  <c r="O27" i="1"/>
  <c r="X26" i="1"/>
  <c r="W26" i="1"/>
  <c r="N26" i="1"/>
  <c r="L26" i="1"/>
  <c r="K26" i="1"/>
  <c r="J26" i="1"/>
  <c r="O26" i="1"/>
  <c r="X25" i="1"/>
  <c r="W25" i="1"/>
  <c r="N25" i="1"/>
  <c r="L25" i="1"/>
  <c r="K25" i="1"/>
  <c r="J25" i="1"/>
  <c r="O25" i="1"/>
  <c r="X24" i="1"/>
  <c r="W24" i="1"/>
  <c r="N24" i="1"/>
  <c r="L24" i="1"/>
  <c r="K24" i="1"/>
  <c r="J24" i="1"/>
  <c r="O24" i="1"/>
  <c r="X23" i="1"/>
  <c r="W23" i="1"/>
  <c r="N23" i="1"/>
  <c r="L23" i="1"/>
  <c r="K23" i="1"/>
  <c r="J23" i="1"/>
  <c r="O23" i="1"/>
  <c r="X22" i="1"/>
  <c r="W22" i="1"/>
  <c r="N22" i="1"/>
  <c r="L22" i="1"/>
  <c r="K22" i="1"/>
  <c r="J22" i="1"/>
  <c r="O22" i="1"/>
  <c r="R22" i="1" s="1"/>
  <c r="X21" i="1"/>
  <c r="W21" i="1"/>
  <c r="N21" i="1"/>
  <c r="L21" i="1"/>
  <c r="K21" i="1"/>
  <c r="J21" i="1"/>
  <c r="O21" i="1"/>
  <c r="R21" i="1" s="1"/>
  <c r="X20" i="1"/>
  <c r="W20" i="1"/>
  <c r="N20" i="1"/>
  <c r="L20" i="1"/>
  <c r="K20" i="1"/>
  <c r="J20" i="1"/>
  <c r="O20" i="1"/>
  <c r="R20" i="1" s="1"/>
  <c r="X19" i="1"/>
  <c r="W19" i="1"/>
  <c r="N19" i="1"/>
  <c r="L19" i="1"/>
  <c r="K19" i="1"/>
  <c r="J19" i="1"/>
  <c r="O19" i="1"/>
  <c r="R19" i="1" s="1"/>
  <c r="X18" i="1"/>
  <c r="W18" i="1"/>
  <c r="N18" i="1"/>
  <c r="L18" i="1"/>
  <c r="K18" i="1"/>
  <c r="J18" i="1"/>
  <c r="O18" i="1"/>
  <c r="R18" i="1" s="1"/>
  <c r="X17" i="1"/>
  <c r="W17" i="1"/>
  <c r="N17" i="1"/>
  <c r="L17" i="1"/>
  <c r="K17" i="1"/>
  <c r="J17" i="1"/>
  <c r="O17" i="1"/>
  <c r="R17" i="1" s="1"/>
  <c r="X16" i="1"/>
  <c r="W16" i="1"/>
  <c r="N16" i="1"/>
  <c r="L16" i="1"/>
  <c r="K16" i="1"/>
  <c r="J16" i="1"/>
  <c r="O16" i="1"/>
  <c r="R16" i="1" s="1"/>
  <c r="X15" i="1"/>
  <c r="W15" i="1"/>
  <c r="N15" i="1"/>
  <c r="L15" i="1"/>
  <c r="K15" i="1"/>
  <c r="J15" i="1"/>
  <c r="O15" i="1"/>
  <c r="R15" i="1" s="1"/>
  <c r="X14" i="1"/>
  <c r="W14" i="1"/>
  <c r="N14" i="1"/>
  <c r="L14" i="1"/>
  <c r="K14" i="1"/>
  <c r="J14" i="1"/>
  <c r="O14" i="1"/>
  <c r="R14" i="1" s="1"/>
  <c r="X13" i="1"/>
  <c r="W13" i="1"/>
  <c r="N13" i="1"/>
  <c r="L13" i="1"/>
  <c r="K13" i="1"/>
  <c r="J13" i="1"/>
  <c r="O13" i="1"/>
  <c r="R13" i="1" s="1"/>
  <c r="X12" i="1"/>
  <c r="W12" i="1"/>
  <c r="N12" i="1"/>
  <c r="L12" i="1"/>
  <c r="K12" i="1"/>
  <c r="J12" i="1"/>
  <c r="O12" i="1"/>
  <c r="R12" i="1" s="1"/>
  <c r="X11" i="1"/>
  <c r="W11" i="1"/>
  <c r="N11" i="1"/>
  <c r="L11" i="1"/>
  <c r="K11" i="1"/>
  <c r="J11" i="1"/>
  <c r="O11" i="1"/>
  <c r="R11" i="1" s="1"/>
  <c r="X10" i="1"/>
  <c r="W10" i="1"/>
  <c r="N10" i="1"/>
  <c r="L10" i="1"/>
  <c r="K10" i="1"/>
  <c r="J10" i="1"/>
  <c r="O10" i="1"/>
  <c r="R10" i="1" s="1"/>
  <c r="X9" i="1"/>
  <c r="W9" i="1"/>
  <c r="N9" i="1"/>
  <c r="L9" i="1"/>
  <c r="K9" i="1"/>
  <c r="J9" i="1"/>
  <c r="O9" i="1"/>
  <c r="R9" i="1" s="1"/>
  <c r="R8" i="1"/>
  <c r="R7" i="1"/>
  <c r="R284" i="1"/>
  <c r="R152" i="1"/>
  <c r="R608" i="1"/>
  <c r="R544" i="1"/>
  <c r="R761" i="1"/>
  <c r="O762" i="1"/>
  <c r="R496" i="1"/>
  <c r="R516" i="1"/>
  <c r="R548" i="1"/>
  <c r="R634" i="1"/>
  <c r="O759" i="1"/>
  <c r="R611" i="1"/>
  <c r="R629" i="1"/>
  <c r="R765" i="1"/>
  <c r="O576" i="1"/>
  <c r="O599" i="1"/>
  <c r="R604" i="1"/>
  <c r="O751" i="1"/>
  <c r="P751" i="1" s="1"/>
  <c r="R508" i="1"/>
  <c r="O553" i="1"/>
  <c r="R591" i="1"/>
  <c r="O739" i="1"/>
  <c r="O746" i="1"/>
  <c r="P746" i="1" s="1"/>
  <c r="O763" i="1"/>
  <c r="R770" i="1"/>
  <c r="O543" i="1"/>
  <c r="O552" i="1"/>
  <c r="O560" i="1"/>
  <c r="P560" i="1" s="1"/>
  <c r="O563" i="1"/>
  <c r="O596" i="1"/>
  <c r="O750" i="1"/>
  <c r="R753" i="1"/>
  <c r="R473" i="1"/>
  <c r="R524" i="1"/>
  <c r="O549" i="1"/>
  <c r="R607" i="1"/>
  <c r="R614" i="1"/>
  <c r="R495" i="1"/>
  <c r="R520" i="1"/>
  <c r="O559" i="1"/>
  <c r="O569" i="1"/>
  <c r="O570" i="1"/>
  <c r="O577" i="1"/>
  <c r="R578" i="1"/>
  <c r="R602" i="1"/>
  <c r="O515" i="1"/>
  <c r="R529" i="1"/>
  <c r="O554" i="1"/>
  <c r="O555" i="1"/>
  <c r="R587" i="1"/>
  <c r="O587" i="1"/>
  <c r="R619" i="1"/>
  <c r="R767" i="1"/>
  <c r="O767" i="1"/>
  <c r="O519" i="1"/>
  <c r="R562" i="1"/>
  <c r="R603" i="1"/>
  <c r="R471" i="1"/>
  <c r="O472" i="1"/>
  <c r="R472" i="1"/>
  <c r="R525" i="1"/>
  <c r="R551" i="1"/>
  <c r="O551" i="1"/>
  <c r="O565" i="1"/>
  <c r="R566" i="1"/>
  <c r="R574" i="1"/>
  <c r="O581" i="1"/>
  <c r="R586" i="1"/>
  <c r="R618" i="1"/>
  <c r="R623" i="1"/>
  <c r="R747" i="1"/>
  <c r="O567" i="1"/>
  <c r="O571" i="1"/>
  <c r="P571" i="1" s="1"/>
  <c r="O579" i="1"/>
  <c r="R606" i="1"/>
  <c r="R474" i="1"/>
  <c r="R494" i="1"/>
  <c r="R518" i="1"/>
  <c r="R522" i="1"/>
  <c r="O597" i="1"/>
  <c r="O585" i="1"/>
  <c r="R585" i="1"/>
  <c r="O601" i="1"/>
  <c r="R545" i="1"/>
  <c r="O589" i="1"/>
  <c r="R589" i="1"/>
  <c r="R593" i="1"/>
  <c r="R609" i="1"/>
  <c r="R617" i="1"/>
  <c r="R627" i="1"/>
  <c r="R635" i="1"/>
  <c r="O760" i="1"/>
  <c r="O740" i="1"/>
  <c r="O768" i="1"/>
  <c r="O744" i="1"/>
  <c r="P744" i="1" s="1"/>
  <c r="O748" i="1"/>
  <c r="R556" i="1" l="1"/>
  <c r="R185" i="1"/>
  <c r="R637" i="1"/>
  <c r="P652" i="1"/>
  <c r="R639" i="1"/>
  <c r="R720" i="1"/>
  <c r="R764" i="1"/>
  <c r="R752" i="1"/>
  <c r="R704" i="1"/>
  <c r="R672" i="1"/>
  <c r="R546" i="1"/>
  <c r="R498" i="1"/>
  <c r="O600" i="1"/>
  <c r="R537" i="1"/>
  <c r="O624" i="1"/>
  <c r="O523" i="1"/>
  <c r="O616" i="1"/>
  <c r="O584" i="1"/>
  <c r="O533" i="1"/>
  <c r="O527" i="1"/>
  <c r="R503" i="1"/>
  <c r="R736" i="1"/>
  <c r="R501" i="1"/>
  <c r="O742" i="1"/>
  <c r="R598" i="1"/>
  <c r="O564" i="1"/>
  <c r="P564" i="1" s="1"/>
  <c r="O531" i="1"/>
  <c r="O766" i="1"/>
  <c r="O630" i="1"/>
  <c r="O612" i="1"/>
  <c r="O532" i="1"/>
  <c r="R758" i="1"/>
  <c r="R592" i="1"/>
  <c r="O530" i="1"/>
  <c r="O526" i="1"/>
  <c r="R728" i="1"/>
  <c r="R712" i="1"/>
  <c r="R695" i="1"/>
  <c r="R680" i="1"/>
  <c r="R664" i="1"/>
  <c r="R372" i="1"/>
  <c r="R434" i="1"/>
  <c r="R502" i="1"/>
  <c r="R628" i="1"/>
  <c r="R590" i="1"/>
  <c r="O582" i="1"/>
  <c r="O499" i="1"/>
  <c r="O510" i="1"/>
  <c r="R620" i="1"/>
  <c r="R610" i="1"/>
  <c r="O572" i="1"/>
  <c r="O536" i="1"/>
  <c r="R500" i="1"/>
  <c r="O743" i="1"/>
  <c r="R626" i="1"/>
  <c r="O558" i="1"/>
  <c r="O547" i="1"/>
  <c r="R504" i="1"/>
  <c r="R497" i="1"/>
  <c r="R745" i="1"/>
  <c r="R741" i="1"/>
  <c r="R636" i="1"/>
  <c r="R594" i="1"/>
  <c r="O580" i="1"/>
  <c r="O561" i="1"/>
  <c r="O534" i="1"/>
  <c r="O521" i="1"/>
  <c r="R632" i="1"/>
  <c r="O517" i="1"/>
  <c r="O512" i="1"/>
  <c r="O538" i="1"/>
  <c r="R677" i="1"/>
  <c r="R709" i="1"/>
  <c r="R651" i="1"/>
  <c r="R649" i="1"/>
  <c r="R327" i="1"/>
  <c r="R725" i="1"/>
  <c r="R692" i="1"/>
  <c r="P568" i="1"/>
  <c r="R782" i="1"/>
  <c r="R733" i="1"/>
  <c r="R717" i="1"/>
  <c r="R701" i="1"/>
  <c r="R685" i="1"/>
  <c r="R669" i="1"/>
  <c r="R655" i="1"/>
  <c r="R647" i="1"/>
  <c r="R438" i="1"/>
  <c r="R800" i="1"/>
  <c r="R363" i="1"/>
  <c r="R486" i="1"/>
  <c r="R793" i="1"/>
  <c r="R385" i="1"/>
  <c r="R729" i="1"/>
  <c r="R721" i="1"/>
  <c r="R713" i="1"/>
  <c r="R705" i="1"/>
  <c r="R696" i="1"/>
  <c r="R681" i="1"/>
  <c r="R673" i="1"/>
  <c r="R665" i="1"/>
  <c r="R642" i="1"/>
  <c r="R453" i="1"/>
  <c r="R292" i="1"/>
  <c r="R302" i="1"/>
  <c r="P302" i="1"/>
  <c r="R364" i="1"/>
  <c r="R297" i="1"/>
  <c r="R301" i="1"/>
  <c r="R303" i="1"/>
  <c r="R313" i="1"/>
  <c r="R631" i="1"/>
  <c r="R621" i="1"/>
  <c r="R613" i="1"/>
  <c r="R605" i="1"/>
  <c r="O575" i="1"/>
  <c r="O573" i="1"/>
  <c r="O550" i="1"/>
  <c r="P550" i="1" s="1"/>
  <c r="O528" i="1"/>
  <c r="R178" i="1"/>
  <c r="O513" i="1"/>
  <c r="O615" i="1"/>
  <c r="R588" i="1"/>
  <c r="O557" i="1"/>
  <c r="O539" i="1"/>
  <c r="R480" i="1"/>
  <c r="O595" i="1"/>
  <c r="O511" i="1"/>
  <c r="R493" i="1"/>
  <c r="O535" i="1"/>
  <c r="O633" i="1"/>
  <c r="R540" i="1"/>
  <c r="R732" i="1"/>
  <c r="R724" i="1"/>
  <c r="R716" i="1"/>
  <c r="R708" i="1"/>
  <c r="R700" i="1"/>
  <c r="R691" i="1"/>
  <c r="R684" i="1"/>
  <c r="R676" i="1"/>
  <c r="R668" i="1"/>
  <c r="R661" i="1"/>
  <c r="R645" i="1"/>
  <c r="R446" i="1"/>
  <c r="P431" i="1"/>
  <c r="R792" i="1"/>
  <c r="R781" i="1"/>
  <c r="R334" i="1"/>
  <c r="R791" i="1"/>
  <c r="R640" i="1"/>
  <c r="R466" i="1"/>
  <c r="R300" i="1"/>
  <c r="R794" i="1"/>
  <c r="R785" i="1"/>
  <c r="R218" i="1"/>
  <c r="P703" i="1"/>
  <c r="P796" i="1"/>
  <c r="P320" i="1"/>
  <c r="P7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Janette Aurora Cuellar Ochoa</author>
  </authors>
  <commentList>
    <comment ref="H79" authorId="0" shapeId="0" xr:uid="{00000000-0006-0000-0000-000001000000}">
      <text>
        <r>
          <rPr>
            <b/>
            <sz val="9"/>
            <color indexed="81"/>
            <rFont val="Tahoma"/>
            <family val="2"/>
          </rPr>
          <t>Janette Aurora Cuellar Ochoa:</t>
        </r>
        <r>
          <rPr>
            <sz val="9"/>
            <color indexed="81"/>
            <rFont val="Tahoma"/>
            <family val="2"/>
          </rPr>
          <t xml:space="preserve">
CONTRATO: $ 9,475,895.37
CONVENIO: $ 2,358,367.78</t>
        </r>
      </text>
    </comment>
    <comment ref="H121" authorId="0" shapeId="0" xr:uid="{00000000-0006-0000-0000-000002000000}">
      <text>
        <r>
          <rPr>
            <b/>
            <sz val="9"/>
            <color indexed="81"/>
            <rFont val="Tahoma"/>
            <family val="2"/>
          </rPr>
          <t>Janette Aurora Cuellar Ochoa:</t>
        </r>
        <r>
          <rPr>
            <sz val="9"/>
            <color indexed="81"/>
            <rFont val="Tahoma"/>
            <family val="2"/>
          </rPr>
          <t xml:space="preserve">
CONTRATO: $9,062,555.08
CONVENIO: $498,069.53</t>
        </r>
      </text>
    </comment>
    <comment ref="H190" authorId="0" shapeId="0" xr:uid="{00000000-0006-0000-0000-000003000000}">
      <text>
        <r>
          <rPr>
            <b/>
            <sz val="9"/>
            <color indexed="81"/>
            <rFont val="Tahoma"/>
            <family val="2"/>
          </rPr>
          <t>Janette Aurora Cuellar Ochoa:</t>
        </r>
        <r>
          <rPr>
            <sz val="9"/>
            <color indexed="81"/>
            <rFont val="Tahoma"/>
            <family val="2"/>
          </rPr>
          <t xml:space="preserve">
CONTRATO: $ 7,913,055.8
CONVENIO: $ 2,321,202.61</t>
        </r>
      </text>
    </comment>
  </commentList>
</comments>
</file>

<file path=xl/sharedStrings.xml><?xml version="1.0" encoding="utf-8"?>
<sst xmlns="http://schemas.openxmlformats.org/spreadsheetml/2006/main" count="11932" uniqueCount="3346">
  <si>
    <t>AYUNTAMIENTO DE ZAPOPAN, JALISCO</t>
  </si>
  <si>
    <t>VI. La información sobre la gestión pública</t>
  </si>
  <si>
    <t>Obras públicas del Municipio de Zapopan</t>
  </si>
  <si>
    <t>Ejercicio</t>
  </si>
  <si>
    <t>Tipo de procedimiento por medio del cual se contrato la obra</t>
  </si>
  <si>
    <t>Número del contrato</t>
  </si>
  <si>
    <t>Fecha del contrato</t>
  </si>
  <si>
    <t xml:space="preserve">Descripción de la obra </t>
  </si>
  <si>
    <t>Origen del Recursos:  (Federal, Estatal, Municipal, Privado, Ramo 33)</t>
  </si>
  <si>
    <t>Inversión</t>
  </si>
  <si>
    <t xml:space="preserve">Lugar o ubicación de la obra pública  </t>
  </si>
  <si>
    <t xml:space="preserve">Ejecutor de la obra 
(en caso de que los datos correspondan a una persona moral incluyan en las columnas de nombre el dato del representante legal de la empresa). </t>
  </si>
  <si>
    <t>Costo Incial de la obra</t>
  </si>
  <si>
    <t>Costo Final de la obra</t>
  </si>
  <si>
    <t>Superficie Construida en Mt2</t>
  </si>
  <si>
    <t>Costo por Mt2 o lineal</t>
  </si>
  <si>
    <t>Tipo de Beneficiarios de la obra</t>
  </si>
  <si>
    <t>Número de beneficiario</t>
  </si>
  <si>
    <t xml:space="preserve">Relación de la obra con los intrumentos de planeación del desarrollo </t>
  </si>
  <si>
    <t>Estado de las obras públicas: en proceso; en proceso con retraso; en proceso con tiempo vencido; concluida</t>
  </si>
  <si>
    <t>Plazo de entrega o de ejecución</t>
  </si>
  <si>
    <t>Supervisor de la obra o perito responsable</t>
  </si>
  <si>
    <t>Hipervínculo al documento del contrato</t>
  </si>
  <si>
    <t>Hipervínculo al convenio modificatorio</t>
  </si>
  <si>
    <t>Nombre(s)</t>
  </si>
  <si>
    <t>Apellido paterno</t>
  </si>
  <si>
    <t>Apellido materno</t>
  </si>
  <si>
    <t>Razón social del ganador</t>
  </si>
  <si>
    <t>RFC</t>
  </si>
  <si>
    <t>Fecha de inicio (formato día/mes/año)</t>
  </si>
  <si>
    <t>Fecha de término (formato día/mes/año)</t>
  </si>
  <si>
    <t>Licitación Pública</t>
  </si>
  <si>
    <t>DOPI-MUN-R33-AP-LP-230-2015</t>
  </si>
  <si>
    <t>Perforación y Equipamiento de Pozo Profundo en la colonia Nextipac Zona RS, municipio de Zapopan, Jalisco.</t>
  </si>
  <si>
    <t>Colonia Nextipac zona RS</t>
  </si>
  <si>
    <t>Antonio</t>
  </si>
  <si>
    <t>Corcuera</t>
  </si>
  <si>
    <t>Garza</t>
  </si>
  <si>
    <t>Alcor de Occidente S.A. de C.V. ZAP-0093</t>
  </si>
  <si>
    <t>AOC830810TG9</t>
  </si>
  <si>
    <t>180 ML</t>
  </si>
  <si>
    <t>Directos</t>
  </si>
  <si>
    <t>La presente obra se encuentra en apego a los planes parciales de planeacion y desarrollo</t>
  </si>
  <si>
    <t>Concluida</t>
  </si>
  <si>
    <t>Victor Manuel</t>
  </si>
  <si>
    <t xml:space="preserve">Lomelí </t>
  </si>
  <si>
    <t>Leos</t>
  </si>
  <si>
    <t>DOPI-MUN-R33-AP-LP-231-2015</t>
  </si>
  <si>
    <t>Equipamiento y tanques de almacenamiento de agua en el pozo profundo San Rafael, ubicado en camino a la Azucena y calle San Rafael, en la colonia San Rafael, municipio de Zapopan, Jalisco.</t>
  </si>
  <si>
    <t>Colonia San Rafael zona RN</t>
  </si>
  <si>
    <t>1 PIEZA</t>
  </si>
  <si>
    <t>DOPI-MUN-R33-IE-LP-232-2015</t>
  </si>
  <si>
    <t>Construcción de barda perimetral en la escuela secundaria mixta 61 Francisco de Jesús Ayón Zester, ubicada en Av. Del Vergel s/n, en la colonia Nuevo Vergel 1ra. Sección, municipio de Zapopan, Jalisco.</t>
  </si>
  <si>
    <t>Colonia Nuevo Vergel zona 2A</t>
  </si>
  <si>
    <t>José Omar</t>
  </si>
  <si>
    <t>Fernández</t>
  </si>
  <si>
    <t>Vázquez</t>
  </si>
  <si>
    <t>ECO0908115Z7</t>
  </si>
  <si>
    <t>1410 M2</t>
  </si>
  <si>
    <t>Gerardo</t>
  </si>
  <si>
    <t>Arceo</t>
  </si>
  <si>
    <t>Arizaga</t>
  </si>
  <si>
    <t>Adjudicación Directa</t>
  </si>
  <si>
    <t>Municipal</t>
  </si>
  <si>
    <t>Colonia Villa de Guadalupe zona 2B</t>
  </si>
  <si>
    <t>31 ML</t>
  </si>
  <si>
    <t>Jacob</t>
  </si>
  <si>
    <t>Tejeda</t>
  </si>
  <si>
    <t>Álvarez</t>
  </si>
  <si>
    <t>Colonia Parques de Tesistán zona RS</t>
  </si>
  <si>
    <t>1815 M2</t>
  </si>
  <si>
    <t>Alhelí</t>
  </si>
  <si>
    <t>Rubio</t>
  </si>
  <si>
    <t>Villa</t>
  </si>
  <si>
    <t>Colonia Mesa Colorada Poniente zona 2B</t>
  </si>
  <si>
    <t>53 ML</t>
  </si>
  <si>
    <t>Jorge Adriel</t>
  </si>
  <si>
    <t>Guzmán</t>
  </si>
  <si>
    <t>Cervantes</t>
  </si>
  <si>
    <t>Colonia Jardines de Nuevo México</t>
  </si>
  <si>
    <t>315 ML</t>
  </si>
  <si>
    <t>Roberto Carlos</t>
  </si>
  <si>
    <t>Martínez</t>
  </si>
  <si>
    <t>De la Torre</t>
  </si>
  <si>
    <t>360 ML</t>
  </si>
  <si>
    <t>Colonia Vista Hermosa</t>
  </si>
  <si>
    <t>120 M2</t>
  </si>
  <si>
    <t>Carlos Gerardo</t>
  </si>
  <si>
    <t>Peña</t>
  </si>
  <si>
    <t>Ortega</t>
  </si>
  <si>
    <t>Colonia Lomas de Tabachines</t>
  </si>
  <si>
    <t>440 ML</t>
  </si>
  <si>
    <t>José Pablo</t>
  </si>
  <si>
    <t>Villaseñor</t>
  </si>
  <si>
    <t>Padilla</t>
  </si>
  <si>
    <t>Colonia Vicente Guerrero</t>
  </si>
  <si>
    <t>43 ML</t>
  </si>
  <si>
    <t>Miguel Ángel</t>
  </si>
  <si>
    <t>Estrada</t>
  </si>
  <si>
    <t>Gloria</t>
  </si>
  <si>
    <t>Colonia Lomas del Bosque</t>
  </si>
  <si>
    <t>1960 M2</t>
  </si>
  <si>
    <t>Fernando</t>
  </si>
  <si>
    <t>Chávez</t>
  </si>
  <si>
    <t>Pinto</t>
  </si>
  <si>
    <t>Colonia San José del Bajío</t>
  </si>
  <si>
    <t>6,297 M2</t>
  </si>
  <si>
    <t>6,297 M3</t>
  </si>
  <si>
    <t>Colonia Jardines del Centinela</t>
  </si>
  <si>
    <t>781 M2</t>
  </si>
  <si>
    <t>Colonia Las Aguilas</t>
  </si>
  <si>
    <t>850 M2</t>
  </si>
  <si>
    <t>Localidad de Nextipac</t>
  </si>
  <si>
    <t>1,007.23 M2</t>
  </si>
  <si>
    <t>Juan José</t>
  </si>
  <si>
    <t>Quirarte</t>
  </si>
  <si>
    <t>Olmos</t>
  </si>
  <si>
    <t>Colonia Centro</t>
  </si>
  <si>
    <t>12 M2</t>
  </si>
  <si>
    <t>Indirectos</t>
  </si>
  <si>
    <t>N/A</t>
  </si>
  <si>
    <t>No aplica</t>
  </si>
  <si>
    <t xml:space="preserve">Martín </t>
  </si>
  <si>
    <t>Laguna</t>
  </si>
  <si>
    <t>Salazar</t>
  </si>
  <si>
    <t>Pablo</t>
  </si>
  <si>
    <t>Gutiérrez</t>
  </si>
  <si>
    <t>Hernández</t>
  </si>
  <si>
    <t>Marco Antonio</t>
  </si>
  <si>
    <t>Lozano</t>
  </si>
  <si>
    <t>Pérez</t>
  </si>
  <si>
    <t>Emmanuel</t>
  </si>
  <si>
    <t>Valle</t>
  </si>
  <si>
    <t>Rafael</t>
  </si>
  <si>
    <t>Neri</t>
  </si>
  <si>
    <t>Jacobo</t>
  </si>
  <si>
    <t>Colonia Guadalajarita</t>
  </si>
  <si>
    <t>2546.52 M2</t>
  </si>
  <si>
    <t>García</t>
  </si>
  <si>
    <t>Licitación por Invitación Restringida</t>
  </si>
  <si>
    <t>DOPI-MUN-RP-EP-CI-016-2016</t>
  </si>
  <si>
    <t>Construcción de andadores, instalación de equipos de gimnasio al aire libre, juegos infantiles, piso amortiguante, electrificación, iluminación, mobiliario, fuente y arbolado en el parque El Polvorin II, municipio de Zapopan, Jalisco.</t>
  </si>
  <si>
    <t>Colonia Emiliano Zapata</t>
  </si>
  <si>
    <t>Cortés</t>
  </si>
  <si>
    <t>González</t>
  </si>
  <si>
    <t>Grupo Taube de México, S.A. de C.V.</t>
  </si>
  <si>
    <t>GTM050418384</t>
  </si>
  <si>
    <t>525 M2</t>
  </si>
  <si>
    <t xml:space="preserve">Juan José </t>
  </si>
  <si>
    <t xml:space="preserve">Garcia </t>
  </si>
  <si>
    <t>Peréz</t>
  </si>
  <si>
    <t>DOPI-MUN- R33FORTA-PROY-CI-017-2016</t>
  </si>
  <si>
    <t>Proyecto ejecutivo para la construcción de Nodo Vial en 5 de Mayo y Periférico Poniente, en San Juan de Ocotán, municipio de Zapopan, Jalisco.</t>
  </si>
  <si>
    <t>San Juan de Ocotán</t>
  </si>
  <si>
    <t>Álvaro Salvador</t>
  </si>
  <si>
    <t>Morales</t>
  </si>
  <si>
    <t>Metro Arquitectura, S.A. de C.V.</t>
  </si>
  <si>
    <t>MAR970702FC6</t>
  </si>
  <si>
    <t xml:space="preserve">Julio </t>
  </si>
  <si>
    <t xml:space="preserve"> Rodríguez</t>
  </si>
  <si>
    <t>DOPI-MUN-RP-PROY-CI-019-2016</t>
  </si>
  <si>
    <t>Actualización del proyecto ejecutivo de Av. Inglaterra, de Av. Patria a Av. Aviación, en el municipio de Zapopan, Jalisco.</t>
  </si>
  <si>
    <t>Colonias Puertas del Tule y San Juan de Ocotán</t>
  </si>
  <si>
    <t>José Manuel</t>
  </si>
  <si>
    <t>Gómez</t>
  </si>
  <si>
    <t>Castellanos</t>
  </si>
  <si>
    <t>GVA Desarrollos Integrales, S.A. de C.V.</t>
  </si>
  <si>
    <t>GDI020122D2A</t>
  </si>
  <si>
    <t xml:space="preserve">Norberto Esaú </t>
  </si>
  <si>
    <t>Romero</t>
  </si>
  <si>
    <t xml:space="preserve"> Joya</t>
  </si>
  <si>
    <t>DOPI-MUN-RP-PAV-LP-020-2016</t>
  </si>
  <si>
    <t>Sustitución de losas de concreto, reposición de guarnición, nivelación de pozos de visita, cajas de válvulas, rejillas pluviales, bocas de tormenta y elementos estructurales que sobresalen de la rasante de la vialidad, calafateos, señaletica horizontal; en calle Orion de Av. Sierra de Mazamitla a Av. López Mateos, de Av. Sierra de Mazamitla de Valle de Atemajac a Límite Municipal (Av. Las Fuentes) municipio de Zapopan, Jalisco.</t>
  </si>
  <si>
    <t>Colonias Pinar de la Calma y Las Águilas</t>
  </si>
  <si>
    <t>Francisco Javier</t>
  </si>
  <si>
    <t>Díaz</t>
  </si>
  <si>
    <t>Ruiz</t>
  </si>
  <si>
    <t>Constructora Diru, S.A. de C.V.</t>
  </si>
  <si>
    <t>CDI950714B79</t>
  </si>
  <si>
    <t>1,943 M2</t>
  </si>
  <si>
    <t xml:space="preserve">Carlos Gerardo </t>
  </si>
  <si>
    <t xml:space="preserve">Peña </t>
  </si>
  <si>
    <t>DOPI-MUN-RP-PAV-LP-021-2016</t>
  </si>
  <si>
    <t>Sustitución de losas de concreto, reposición de guarnición, nivelación de pozos de visita, cajas de válvulas, rejillas pluviales, bocas de tormenta y elementos estructurales que sobresalen de la rasante de la vialidad, calafateos, señaletica horizontal en Av. Naciones Unidas de Tomas Fuller a Glorieta del Paso del Prado, municipio de Zapopan, Jalisco.</t>
  </si>
  <si>
    <t>Colonia Loma Real</t>
  </si>
  <si>
    <t>Oscar</t>
  </si>
  <si>
    <t>Rodríguez</t>
  </si>
  <si>
    <t>Cadaco Construcciones, S.A. de C.V.</t>
  </si>
  <si>
    <t>CCO070612CT2</t>
  </si>
  <si>
    <t>3,528 M2</t>
  </si>
  <si>
    <t xml:space="preserve">Jacob </t>
  </si>
  <si>
    <t xml:space="preserve">Tejeda </t>
  </si>
  <si>
    <t>Alvarez</t>
  </si>
  <si>
    <t>DOPI-MUN-RP-PAV-LP-022-2016</t>
  </si>
  <si>
    <t>Renivelación con mezcla asfáltica y sello con mortero asfáltico, nivelación de pozos de visita, cajas de válvulas, rejillas pluviales, bocas de tormenta y elementos estructurales que sobresalen de la rasante de la vialidad, calafateos, señaletica horizontal en Av. Central de Periferico Poniente a Av. Vallarta y en Av. Calzada Nueva de Av. Central a Av. Vallarta, en la colonia Ciudad Granja, municipio de Zapopan, Jalisco.</t>
  </si>
  <si>
    <t>Colonia Ciudad Granja</t>
  </si>
  <si>
    <t>José Francisco</t>
  </si>
  <si>
    <t>Llaguno</t>
  </si>
  <si>
    <t>Yzabal</t>
  </si>
  <si>
    <t>Emulsiones, Sellos y Pavimentos Asfálticos, S.A. de C.V.</t>
  </si>
  <si>
    <t>ESP940311A26</t>
  </si>
  <si>
    <t>45,550 M2</t>
  </si>
  <si>
    <t xml:space="preserve">Victor Manuel </t>
  </si>
  <si>
    <t xml:space="preserve">Lomeli </t>
  </si>
  <si>
    <t>DOPI-MUN-RP-PAV-LP-023-2016</t>
  </si>
  <si>
    <t>Reencarpetamiento de la vialidad, desbastado de la carpeta existente, nivelación de pozos de visita, cajas de válvulas, rejillas pluviales, bocas de tormenta y elementos estructurales que sobresalen de la rasante de la vialidad, calafateos, señaletica horizontal de la Av. Sierra de Mazamitla de Valle de Atemajac a calle Orión;  y Renivelación de carpeta asfaltica, reposición de guarnición, nivelación de pozos de visita, cajas de válvulas, rejillas pluviales, bocas de tormenta y elementos estructurales que sobresalen de la rasante de la vialidad, calafateos, señaletica horizontal en Av. Paseo del Prado de la Glorieta Paseo del Prado al limíte Municipal, municipio de Zapopan, Jalisco.</t>
  </si>
  <si>
    <t>Colonias Loma del Valle y Las Águilas</t>
  </si>
  <si>
    <t>Rosalba Edilia</t>
  </si>
  <si>
    <t>Sandoval</t>
  </si>
  <si>
    <t>Huizar</t>
  </si>
  <si>
    <t>Infraestructura San Miguel, S.A. de C.V.</t>
  </si>
  <si>
    <t>ISM0112209Y5</t>
  </si>
  <si>
    <t>24,196 M2</t>
  </si>
  <si>
    <t>DOPI-MUN-RP-PAV-LP-024-2016</t>
  </si>
  <si>
    <t>Reencarpetamiento de la vialidad, desbastado de la carpeta existente, nivelación de pozos de visita, cajas de válvulas, rejillas pluviales, bocas de tormenta y elementos estructurales que sobresalen de la rasante de la vialidad, calafateos, señaletica horizontal en Av. Pablo Neruda de Av. Patria a límite Municipal, municipio de Zapopan, Jalisco.</t>
  </si>
  <si>
    <t>Colonia Colinas de San Javier</t>
  </si>
  <si>
    <t>Carlos Felipe</t>
  </si>
  <si>
    <t>Guerra</t>
  </si>
  <si>
    <t>Urbanizadora Vázquez Guerra, S.A. de C.V.</t>
  </si>
  <si>
    <t>UVG841211G22</t>
  </si>
  <si>
    <t>14,500 M2</t>
  </si>
  <si>
    <t>DOPI-MUN-RP-PAV-LP-025-2016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</si>
  <si>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1, en el municipio de Zapopan, Jalisco</t>
  </si>
  <si>
    <t>Colonias Mirador del Sol, l Colli Urbano y La Calma</t>
  </si>
  <si>
    <t>Blanca Estela</t>
  </si>
  <si>
    <t>Moreno</t>
  </si>
  <si>
    <t>Lemus</t>
  </si>
  <si>
    <t xml:space="preserve">Estudios, Proyectos y Construcciones de Guadalajara, S.A. de C.V. </t>
  </si>
  <si>
    <t>EPC7107236R1</t>
  </si>
  <si>
    <t>4,855 M2</t>
  </si>
  <si>
    <t xml:space="preserve">José Rafael </t>
  </si>
  <si>
    <t xml:space="preserve">Aguayo </t>
  </si>
  <si>
    <t>Cortes</t>
  </si>
  <si>
    <t>DOPI-MUN-RP-PAV-LP-026-2016</t>
  </si>
  <si>
    <t>Sustitución de losas de concreto, reposición de guarnición, nivelación de pozos de visita, cajas de válvulas, rejillas pluviales, bocas de tormenta y elementos estructurales que sobresalen de la rasante de la vialidad, calafateos, señaletica horizontal; en Av. Patria de Av. Guadalupe a Av. López Mateos tramo 2, en el municipio de Zapopan, Jalisco</t>
  </si>
  <si>
    <t>Arturo</t>
  </si>
  <si>
    <t>Montufar</t>
  </si>
  <si>
    <t>Núñez</t>
  </si>
  <si>
    <t>Velero Pavimentación y Construcción S.A. de C.V.</t>
  </si>
  <si>
    <t>VPC0012148K0</t>
  </si>
  <si>
    <t>3,883 M2</t>
  </si>
  <si>
    <t xml:space="preserve">Jose Rafael </t>
  </si>
  <si>
    <t>DOPI-MUN-RP-PAV-LP-027-2016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</si>
  <si>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1, de Av. Angel Leaño a carretera Colotlán, municipio de Zapopan, Jalisco.</t>
  </si>
  <si>
    <t>Colonia Nuevo México</t>
  </si>
  <si>
    <t>Ignacio Javier</t>
  </si>
  <si>
    <t>Curiel</t>
  </si>
  <si>
    <t>Dueñas</t>
  </si>
  <si>
    <t>TC Construcción y Mantenimiento, S.A. de C.V.</t>
  </si>
  <si>
    <t>TCM100915HA1</t>
  </si>
  <si>
    <t>32,145 M2</t>
  </si>
  <si>
    <t xml:space="preserve">Miguel </t>
  </si>
  <si>
    <t xml:space="preserve">Frausto </t>
  </si>
  <si>
    <t>Rivera</t>
  </si>
  <si>
    <t>DOPI-MUN-RP-PAV-LP-028-2016</t>
  </si>
  <si>
    <t>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centrales), tramo 2, de Av. Angel Leaño a carretera Colotlán, municipio de Zapopan, Jalisco.</t>
  </si>
  <si>
    <t>30,824 M2</t>
  </si>
  <si>
    <t>DOPI-MUN-RP-PAV-LP-029-2016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</si>
  <si>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1, de la Av. Angel Leaño a la carretera Colotlán, municipio de Zapopan, Jalisco</t>
  </si>
  <si>
    <t>Rodrigo</t>
  </si>
  <si>
    <t>Ramos</t>
  </si>
  <si>
    <t>Garibi</t>
  </si>
  <si>
    <t>Metro Asfaltos, S.A. de C.V.</t>
  </si>
  <si>
    <t>CMA070307RU6</t>
  </si>
  <si>
    <t>17,667 M2</t>
  </si>
  <si>
    <t>DOPI-MUN-RP-PAV-LP-030-2016</t>
  </si>
  <si>
    <t>Reencarpetamiento de la vialidad, desbastado de la carpeta existente, nivelación de pozos de visita, cajas de válvulas, rejillas pluviales, bocas de tormenta y elementos estructurales que sobresalen de la rasante de la vialidad, calafateos, señaletica horizontal en Av. Juan Gil Preciado (carriles laterales), tramo 2, de la Av. Angel Leaño a la carretera Colotlán, municipio de Zapopan, Jalisco</t>
  </si>
  <si>
    <t>Braulia</t>
  </si>
  <si>
    <t>Colmenares</t>
  </si>
  <si>
    <t>Aldsanbm Constructora, S.A. de C.V.</t>
  </si>
  <si>
    <t>ACO070606CY5</t>
  </si>
  <si>
    <t>16,932 M2</t>
  </si>
  <si>
    <t>Colonias: Miramar, Royal Country y Puerta Plata</t>
  </si>
  <si>
    <t>44,265 M2</t>
  </si>
  <si>
    <t>Aguayo</t>
  </si>
  <si>
    <t xml:space="preserve"> Cortés</t>
  </si>
  <si>
    <t>Santa Ana Tepetitlán</t>
  </si>
  <si>
    <t>248 M2</t>
  </si>
  <si>
    <t xml:space="preserve">Jorge Adriel </t>
  </si>
  <si>
    <t xml:space="preserve">Guzmán </t>
  </si>
  <si>
    <t>Colonias: Periodistas, El Mante y El Briseño</t>
  </si>
  <si>
    <t>37,800 M2</t>
  </si>
  <si>
    <t xml:space="preserve"> Peña </t>
  </si>
  <si>
    <t>Colonias: Altagracia, La Martinica y Arroyo Hondo</t>
  </si>
  <si>
    <t>44,056 M2</t>
  </si>
  <si>
    <t>Edificio de Servicios Públicos Municipales</t>
  </si>
  <si>
    <t>23 M2</t>
  </si>
  <si>
    <t>DIF Laureles</t>
  </si>
  <si>
    <t>125 M2</t>
  </si>
  <si>
    <t xml:space="preserve">Alhelí </t>
  </si>
  <si>
    <t xml:space="preserve">Rubio </t>
  </si>
  <si>
    <t>Colonias: La Florida y Primavera</t>
  </si>
  <si>
    <t>216 ML</t>
  </si>
  <si>
    <t>Colonia La Limera</t>
  </si>
  <si>
    <t>735 ML</t>
  </si>
  <si>
    <t xml:space="preserve">Fernando  </t>
  </si>
  <si>
    <t xml:space="preserve">Adame </t>
  </si>
  <si>
    <t>Tornel</t>
  </si>
  <si>
    <t>Colonias: Rio Blanco y Lomas del Refugio</t>
  </si>
  <si>
    <t>1543 ML</t>
  </si>
  <si>
    <t>Colonia Lomas del Refugio</t>
  </si>
  <si>
    <t xml:space="preserve">Héctor </t>
  </si>
  <si>
    <t xml:space="preserve">Flores </t>
  </si>
  <si>
    <t>Franco</t>
  </si>
  <si>
    <t>Colonias: Valle de Atemajac, Villa de Guadalupe, Arenales Tapatios, Unidad Fovissste y Santa Margarita Primera Sección</t>
  </si>
  <si>
    <t>5 PLANTELES</t>
  </si>
  <si>
    <t xml:space="preserve">Gerardo </t>
  </si>
  <si>
    <t xml:space="preserve">Arceo </t>
  </si>
  <si>
    <t>Colonia Villa de Guadalupe</t>
  </si>
  <si>
    <t xml:space="preserve">José Antonio </t>
  </si>
  <si>
    <t xml:space="preserve">García </t>
  </si>
  <si>
    <t>López</t>
  </si>
  <si>
    <t>DOPI-MUN-AMP-PAV-CI-044-2016</t>
  </si>
  <si>
    <t>Julio Eduardo</t>
  </si>
  <si>
    <t>Proyectos e Insumos Industriales Jelp, S.A. de C.V.</t>
  </si>
  <si>
    <t>PEI020208RW0</t>
  </si>
  <si>
    <t>750 M2</t>
  </si>
  <si>
    <t xml:space="preserve">Ing. Jacob </t>
  </si>
  <si>
    <t>DOPI-MUN-AMP-PAV-CI-045-2016</t>
  </si>
  <si>
    <t>José Antonio</t>
  </si>
  <si>
    <t>Urcoma 1970, S.A. de C.V.</t>
  </si>
  <si>
    <t>UMN160125869</t>
  </si>
  <si>
    <t>2,466 M2</t>
  </si>
  <si>
    <t xml:space="preserve">Ing.Rafael </t>
  </si>
  <si>
    <t>DOPI-MUN-AMP-PAV-CI-046-2016</t>
  </si>
  <si>
    <t>Orlando</t>
  </si>
  <si>
    <t>Hijar</t>
  </si>
  <si>
    <t>Casillas</t>
  </si>
  <si>
    <t>Constructora y Urbanizadora Ceda, S.A. de C.V.</t>
  </si>
  <si>
    <t>CUC121107NV2</t>
  </si>
  <si>
    <t>2,014 M2</t>
  </si>
  <si>
    <t xml:space="preserve">Ing. Juan José </t>
  </si>
  <si>
    <t xml:space="preserve">Quirarte </t>
  </si>
  <si>
    <t>DOPI-MUN-AMP-AP-CI-047-2016</t>
  </si>
  <si>
    <t>Rogelio</t>
  </si>
  <si>
    <t>Arballo</t>
  </si>
  <si>
    <t>Luján</t>
  </si>
  <si>
    <t>Maquiobras, S.A. de C.V.</t>
  </si>
  <si>
    <t>MAQ980415GF0</t>
  </si>
  <si>
    <t>2,390 ML</t>
  </si>
  <si>
    <t>DOPI-MUN-AMP-AP-CI-048-2016</t>
  </si>
  <si>
    <t>Lugo</t>
  </si>
  <si>
    <t>Obras y Comercialización de la Construcción, S.A. de C.V.</t>
  </si>
  <si>
    <t>OCC940714PB0</t>
  </si>
  <si>
    <t>808 ML</t>
  </si>
  <si>
    <t xml:space="preserve">Ing. Alfonso </t>
  </si>
  <si>
    <t xml:space="preserve">Cuevas </t>
  </si>
  <si>
    <t>Murillo</t>
  </si>
  <si>
    <t>DOPI-MUN-AMP-AP-CI-049-2016</t>
  </si>
  <si>
    <t>Loza</t>
  </si>
  <si>
    <t>Promotores Inmobiliarios y Constructores de Jalisco, S.A. de C.V.</t>
  </si>
  <si>
    <t>PIC101216TL9</t>
  </si>
  <si>
    <t>561 ML</t>
  </si>
  <si>
    <t>2,010 M2</t>
  </si>
  <si>
    <t>4,400 M2</t>
  </si>
  <si>
    <t>3,090 M2</t>
  </si>
  <si>
    <t>510 M2</t>
  </si>
  <si>
    <t>3,045 M2</t>
  </si>
  <si>
    <t xml:space="preserve">Ing. Rafael </t>
  </si>
  <si>
    <t>13,005 M2</t>
  </si>
  <si>
    <t xml:space="preserve">Ing. Juan Santiago </t>
  </si>
  <si>
    <t xml:space="preserve">Ramos </t>
  </si>
  <si>
    <t>Ozuna</t>
  </si>
  <si>
    <t>8,610 M2</t>
  </si>
  <si>
    <t>13,445 M2</t>
  </si>
  <si>
    <t>11,700 M2</t>
  </si>
  <si>
    <t>Colonia Las Águilas</t>
  </si>
  <si>
    <t>38,846 M2</t>
  </si>
  <si>
    <t>Ing. Víctor Alfonso</t>
  </si>
  <si>
    <t>Ramírez</t>
  </si>
  <si>
    <t>Reyes</t>
  </si>
  <si>
    <t>Varias colonias del Municipio</t>
  </si>
  <si>
    <t>95,806 M2</t>
  </si>
  <si>
    <t>En Proceso</t>
  </si>
  <si>
    <t>40,328 M2</t>
  </si>
  <si>
    <t xml:space="preserve">Ing. Miguel </t>
  </si>
  <si>
    <t>24,640 M2</t>
  </si>
  <si>
    <t>6,073 M2</t>
  </si>
  <si>
    <t>Col. Residencial Poniente</t>
  </si>
  <si>
    <t>855 ML</t>
  </si>
  <si>
    <t xml:space="preserve">Arq. Víctor Manuel </t>
  </si>
  <si>
    <t>Col. Fraccionamiento Tabachines</t>
  </si>
  <si>
    <t>462 M2</t>
  </si>
  <si>
    <t xml:space="preserve">Arq. Joel </t>
  </si>
  <si>
    <t xml:space="preserve">Olivares </t>
  </si>
  <si>
    <t>Duarte</t>
  </si>
  <si>
    <t>Localidad de Santa Lucía</t>
  </si>
  <si>
    <t>1,137 m2</t>
  </si>
  <si>
    <t>Col. Parque Industrial Belenes</t>
  </si>
  <si>
    <t>112 M2</t>
  </si>
  <si>
    <t>Colonia Agua Fría</t>
  </si>
  <si>
    <t>680 M2</t>
  </si>
  <si>
    <t>San Juan de Ocotán y Col. Miramar</t>
  </si>
  <si>
    <t>312 M2</t>
  </si>
  <si>
    <t xml:space="preserve">Arq. Jorge Adriel </t>
  </si>
  <si>
    <t>Colonia Santa Monica de los Chorritos y Santa Lucia</t>
  </si>
  <si>
    <t>4,700 M3</t>
  </si>
  <si>
    <t>30,700 M2</t>
  </si>
  <si>
    <t>2,495 M2</t>
  </si>
  <si>
    <t>Col. El Paraiso</t>
  </si>
  <si>
    <t>812 M2</t>
  </si>
  <si>
    <t xml:space="preserve">Arq. José Antonio </t>
  </si>
  <si>
    <t xml:space="preserve">Ing. Fernando </t>
  </si>
  <si>
    <t xml:space="preserve">Chavez </t>
  </si>
  <si>
    <t>Colonia El Batán</t>
  </si>
  <si>
    <t>768 M2</t>
  </si>
  <si>
    <t>Colonia Puerta del Valle</t>
  </si>
  <si>
    <t>925 M2</t>
  </si>
  <si>
    <t>Colonia Las Higueras</t>
  </si>
  <si>
    <t>5,324 M2</t>
  </si>
  <si>
    <t>28,562 M2</t>
  </si>
  <si>
    <t xml:space="preserve">Ing. Oscar Ivan </t>
  </si>
  <si>
    <t xml:space="preserve">Barcena </t>
  </si>
  <si>
    <t>Galindo</t>
  </si>
  <si>
    <t>22,150 M2</t>
  </si>
  <si>
    <t>10,640 M2</t>
  </si>
  <si>
    <t>7,380 M2</t>
  </si>
  <si>
    <t>840 M2</t>
  </si>
  <si>
    <t>4,015 M2</t>
  </si>
  <si>
    <t>1,885 M2</t>
  </si>
  <si>
    <t>3,796 M2</t>
  </si>
  <si>
    <t>4,847 M2</t>
  </si>
  <si>
    <t>11,696 M2</t>
  </si>
  <si>
    <t>14,923 M2</t>
  </si>
  <si>
    <t>13,168 M2</t>
  </si>
  <si>
    <t>7,750 M2</t>
  </si>
  <si>
    <t>5,500 M2</t>
  </si>
  <si>
    <t>3,802.5 M2</t>
  </si>
  <si>
    <t>1,240 M2</t>
  </si>
  <si>
    <t xml:space="preserve">Arq. Alheli Guadalupe </t>
  </si>
  <si>
    <t>315 M2</t>
  </si>
  <si>
    <t xml:space="preserve">Arq. Carlos Gerardo </t>
  </si>
  <si>
    <t>1,222 M2</t>
  </si>
  <si>
    <t>375 M2</t>
  </si>
  <si>
    <t>5,067 M2</t>
  </si>
  <si>
    <t>16,200 M2</t>
  </si>
  <si>
    <t>Ing. Juan Santiago</t>
  </si>
  <si>
    <t xml:space="preserve"> Ramos </t>
  </si>
  <si>
    <t>1,894 M2</t>
  </si>
  <si>
    <t>2,001 M2</t>
  </si>
  <si>
    <t>7,601 M2</t>
  </si>
  <si>
    <t xml:space="preserve">Ing. Luís Erazmo </t>
  </si>
  <si>
    <t xml:space="preserve">Durán </t>
  </si>
  <si>
    <t>Godina</t>
  </si>
  <si>
    <t>177 M3</t>
  </si>
  <si>
    <t>2,130 M2</t>
  </si>
  <si>
    <t xml:space="preserve">Ing.Arq. Karina Fabiola </t>
  </si>
  <si>
    <t xml:space="preserve">Mireles </t>
  </si>
  <si>
    <t>Delgado</t>
  </si>
  <si>
    <t>846 M2</t>
  </si>
  <si>
    <t>3,876 M2</t>
  </si>
  <si>
    <t>420 M2</t>
  </si>
  <si>
    <t>3,503 M2</t>
  </si>
  <si>
    <t>720 M2</t>
  </si>
  <si>
    <t>240 M2</t>
  </si>
  <si>
    <t>16,290 M2</t>
  </si>
  <si>
    <t>4,814 M2</t>
  </si>
  <si>
    <t>3,015 M2</t>
  </si>
  <si>
    <t>6,069 M2</t>
  </si>
  <si>
    <t>14,859.03 M2</t>
  </si>
  <si>
    <t xml:space="preserve">Arq. Héctor </t>
  </si>
  <si>
    <t>816.76 M2</t>
  </si>
  <si>
    <t xml:space="preserve">L.u.m.a. Juan José </t>
  </si>
  <si>
    <t xml:space="preserve"> Pérez</t>
  </si>
  <si>
    <t>4,876.75 M2</t>
  </si>
  <si>
    <t>Colonia Prados Providencia</t>
  </si>
  <si>
    <t>1,236 M2</t>
  </si>
  <si>
    <t>1,224 M2</t>
  </si>
  <si>
    <t>Colonia Constitución</t>
  </si>
  <si>
    <t>621 M2</t>
  </si>
  <si>
    <t xml:space="preserve">Ing. Arq. Oscar Iván </t>
  </si>
  <si>
    <t>653 M2</t>
  </si>
  <si>
    <t>558 M2</t>
  </si>
  <si>
    <t>Colonia Lomas Altas</t>
  </si>
  <si>
    <t>1,844 M2</t>
  </si>
  <si>
    <t>Colonia La Martinica</t>
  </si>
  <si>
    <t>513 M2</t>
  </si>
  <si>
    <t>Colonia Real del Valle</t>
  </si>
  <si>
    <t>1302 M2</t>
  </si>
  <si>
    <t>Localidad Santa Lucía</t>
  </si>
  <si>
    <t>4,468 M3</t>
  </si>
  <si>
    <t xml:space="preserve">Chávez </t>
  </si>
  <si>
    <t>Localidad de Milpillas</t>
  </si>
  <si>
    <t>1,280 ML</t>
  </si>
  <si>
    <t xml:space="preserve">Arq. José Pablo </t>
  </si>
  <si>
    <t xml:space="preserve">Villaseñor </t>
  </si>
  <si>
    <t>735 M2</t>
  </si>
  <si>
    <t xml:space="preserve">Ing. Jorge Adriel </t>
  </si>
  <si>
    <t xml:space="preserve">Guzman </t>
  </si>
  <si>
    <t>Localidad de Atemajac</t>
  </si>
  <si>
    <t>244 M2</t>
  </si>
  <si>
    <t>JAIME ANDRÉS
ARMANDO</t>
  </si>
  <si>
    <t>RAMAL
GONZÁLEZ</t>
  </si>
  <si>
    <t>ABOUMRAD
FARAH</t>
  </si>
  <si>
    <t>CSS8303089S9
DVV121012433</t>
  </si>
  <si>
    <t>19,257 M2</t>
  </si>
  <si>
    <t xml:space="preserve">Ing. Victor </t>
  </si>
  <si>
    <t xml:space="preserve">Ramirez </t>
  </si>
  <si>
    <t>3,891 ML</t>
  </si>
  <si>
    <t>1 PZA</t>
  </si>
  <si>
    <t>382 M2</t>
  </si>
  <si>
    <t xml:space="preserve">Arq. Claudio Manuel </t>
  </si>
  <si>
    <t xml:space="preserve">Gomez </t>
  </si>
  <si>
    <t>Ortiz</t>
  </si>
  <si>
    <t>1,988 ML</t>
  </si>
  <si>
    <t>3,597 M2</t>
  </si>
  <si>
    <t>300 ML</t>
  </si>
  <si>
    <t>1,150 ML</t>
  </si>
  <si>
    <t>Tornell</t>
  </si>
  <si>
    <t>1,349.88 ML</t>
  </si>
  <si>
    <t>7,500 M2</t>
  </si>
  <si>
    <t>3,201 M2</t>
  </si>
  <si>
    <t>16,033 M2</t>
  </si>
  <si>
    <t>3,682 M2</t>
  </si>
  <si>
    <t>1,598 M2</t>
  </si>
  <si>
    <t>6,512 M2</t>
  </si>
  <si>
    <t>3,208 M2</t>
  </si>
  <si>
    <t>2,548 M2</t>
  </si>
  <si>
    <t>2,378 M2</t>
  </si>
  <si>
    <t>15 PZAS</t>
  </si>
  <si>
    <t>5,625 M2</t>
  </si>
  <si>
    <t xml:space="preserve">Ing. Camilo </t>
  </si>
  <si>
    <t xml:space="preserve">Carbajal </t>
  </si>
  <si>
    <t>Ruvalcaba</t>
  </si>
  <si>
    <t>5,612 M2</t>
  </si>
  <si>
    <t>5,721 M2</t>
  </si>
  <si>
    <t>5,725 M2</t>
  </si>
  <si>
    <t>5,731 M2</t>
  </si>
  <si>
    <t>5,645 M2</t>
  </si>
  <si>
    <t>5,733 M2</t>
  </si>
  <si>
    <t>5,614 M2</t>
  </si>
  <si>
    <t>5,591 M2</t>
  </si>
  <si>
    <t>5,608 M2</t>
  </si>
  <si>
    <t>584 ML</t>
  </si>
  <si>
    <t>3,100 M2</t>
  </si>
  <si>
    <t>1 PARTIDA</t>
  </si>
  <si>
    <t xml:space="preserve">Lic. Sandra Patricia </t>
  </si>
  <si>
    <t xml:space="preserve">Sánchez </t>
  </si>
  <si>
    <t>Valdéz</t>
  </si>
  <si>
    <t>9,461.16 M2</t>
  </si>
  <si>
    <t>9,461.16 M3</t>
  </si>
  <si>
    <t>254 M2</t>
  </si>
  <si>
    <t xml:space="preserve">Ing. José Federico </t>
  </si>
  <si>
    <t xml:space="preserve">Luna </t>
  </si>
  <si>
    <t>13,099.16 M2</t>
  </si>
  <si>
    <t>8,180.41 M2</t>
  </si>
  <si>
    <t>1,718 M2</t>
  </si>
  <si>
    <t>2,265 M2</t>
  </si>
  <si>
    <t>249 M3</t>
  </si>
  <si>
    <t>4,153 ML</t>
  </si>
  <si>
    <t>Colonia Bajío</t>
  </si>
  <si>
    <t>231 ML</t>
  </si>
  <si>
    <t>Ing. Jacob</t>
  </si>
  <si>
    <t>Localidad de Tesistán</t>
  </si>
  <si>
    <t>222 ML</t>
  </si>
  <si>
    <t>Col. Gustavo Diaz Ordaz</t>
  </si>
  <si>
    <t>684 M2</t>
  </si>
  <si>
    <t xml:space="preserve"> Villa</t>
  </si>
  <si>
    <t>1,601 M2</t>
  </si>
  <si>
    <t>4,215 M2</t>
  </si>
  <si>
    <t>1,440 M2</t>
  </si>
  <si>
    <t>6,183 M2</t>
  </si>
  <si>
    <t>5,521 M2</t>
  </si>
  <si>
    <t>898 M2</t>
  </si>
  <si>
    <t>47,361.07 M2</t>
  </si>
  <si>
    <t>417.4 M2</t>
  </si>
  <si>
    <t>767.32 M2</t>
  </si>
  <si>
    <t>3,642.95 M2</t>
  </si>
  <si>
    <t>1,200 M2</t>
  </si>
  <si>
    <t>9,522.21 M2</t>
  </si>
  <si>
    <t>5,960 M2</t>
  </si>
  <si>
    <t>8,833 M2</t>
  </si>
  <si>
    <t>Mireles</t>
  </si>
  <si>
    <t xml:space="preserve"> Delgado</t>
  </si>
  <si>
    <t>8,401 M2</t>
  </si>
  <si>
    <t>30,276 M2</t>
  </si>
  <si>
    <t>14,220 M2</t>
  </si>
  <si>
    <t>10,786 M2</t>
  </si>
  <si>
    <t>4,585 M2</t>
  </si>
  <si>
    <t>12,433 M2</t>
  </si>
  <si>
    <t>3,911.58 M2</t>
  </si>
  <si>
    <t>6,300 M2</t>
  </si>
  <si>
    <t xml:space="preserve">Ing.Carlos Manuel </t>
  </si>
  <si>
    <t xml:space="preserve">Bautista </t>
  </si>
  <si>
    <t>671.12 ML</t>
  </si>
  <si>
    <t>Colonia San Isidro</t>
  </si>
  <si>
    <t>132 ML</t>
  </si>
  <si>
    <t xml:space="preserve">Gómez </t>
  </si>
  <si>
    <t>426 M2</t>
  </si>
  <si>
    <t>Invitación a Cuando Menos Tres Personas</t>
  </si>
  <si>
    <t>3,200 M2</t>
  </si>
  <si>
    <t>796,102 M2</t>
  </si>
  <si>
    <t xml:space="preserve">Neri </t>
  </si>
  <si>
    <t>8,510 M2</t>
  </si>
  <si>
    <t>115 M2</t>
  </si>
  <si>
    <t>1,010 M2</t>
  </si>
  <si>
    <t>5,752 ML</t>
  </si>
  <si>
    <t>Colonia Unidad Fovissste y Colonia Santa Margarita I sección</t>
  </si>
  <si>
    <t>1,035 M2</t>
  </si>
  <si>
    <t xml:space="preserve">Arq. Gerardo </t>
  </si>
  <si>
    <t xml:space="preserve"> Arizaga</t>
  </si>
  <si>
    <t>Colonia La Arboleda</t>
  </si>
  <si>
    <t>3,033 M2</t>
  </si>
  <si>
    <t xml:space="preserve">Arq. Eduardo </t>
  </si>
  <si>
    <t xml:space="preserve">Laguna </t>
  </si>
  <si>
    <t>Evangelista</t>
  </si>
  <si>
    <t>822 M2</t>
  </si>
  <si>
    <t xml:space="preserve"> Ortiz</t>
  </si>
  <si>
    <t>2,982.85 M2</t>
  </si>
  <si>
    <t>Colonia Santa Margarita</t>
  </si>
  <si>
    <t>6,380 M2</t>
  </si>
  <si>
    <t>1 ESTUDIO</t>
  </si>
  <si>
    <t>Ing. Pablo</t>
  </si>
  <si>
    <t>3,200 ML</t>
  </si>
  <si>
    <t>733 ML</t>
  </si>
  <si>
    <t>2,918 ML</t>
  </si>
  <si>
    <t>1,921.33 M2</t>
  </si>
  <si>
    <t>1,754.05 M2</t>
  </si>
  <si>
    <t>1 LOTE</t>
  </si>
  <si>
    <t>Colonia Camichines Vallarta</t>
  </si>
  <si>
    <t>96 M2</t>
  </si>
  <si>
    <t xml:space="preserve">Ing. Martín </t>
  </si>
  <si>
    <t>Colonia El Tigre II</t>
  </si>
  <si>
    <t>796 M2</t>
  </si>
  <si>
    <t>1,502.75 M2</t>
  </si>
  <si>
    <t>Lomelí</t>
  </si>
  <si>
    <t>Col. Villas Perisur</t>
  </si>
  <si>
    <t>263 M2</t>
  </si>
  <si>
    <t xml:space="preserve"> Ortega</t>
  </si>
  <si>
    <t>3,000 M2</t>
  </si>
  <si>
    <t>Col. Constitución</t>
  </si>
  <si>
    <t>343 M2</t>
  </si>
  <si>
    <t>Col. Valle de Atemajac y Col. Villa de Guadalupe</t>
  </si>
  <si>
    <t>4,053 M2</t>
  </si>
  <si>
    <t>Col. El Colli y Col. Tabachines</t>
  </si>
  <si>
    <t>1,519 M2</t>
  </si>
  <si>
    <t>Col. Santa Ana Tepetitlán y Col. La Higuera</t>
  </si>
  <si>
    <t>148 ML</t>
  </si>
  <si>
    <t>Col. Colinas de San Javier</t>
  </si>
  <si>
    <t>3,244 M2</t>
  </si>
  <si>
    <t>Col. Santa Lucia</t>
  </si>
  <si>
    <t>50 M2</t>
  </si>
  <si>
    <t>Localidad Cerca Morada</t>
  </si>
  <si>
    <t>Colonia El Tizate</t>
  </si>
  <si>
    <t>515.8 ML</t>
  </si>
  <si>
    <t>Localidad Los Patios</t>
  </si>
  <si>
    <t>3,240 ML</t>
  </si>
  <si>
    <t>Colonia La Coronilla</t>
  </si>
  <si>
    <t>362.52 ML</t>
  </si>
  <si>
    <t>Colonia Indígena de Mezquitán I sección</t>
  </si>
  <si>
    <t>318.38 ML</t>
  </si>
  <si>
    <t>841.71 ML</t>
  </si>
  <si>
    <t>1,013.31 M2</t>
  </si>
  <si>
    <t>819.2 M2</t>
  </si>
  <si>
    <t>1,033.62 M2</t>
  </si>
  <si>
    <t>1,210 ML</t>
  </si>
  <si>
    <t>Colonia Arenales Tapatios</t>
  </si>
  <si>
    <t>870 ML</t>
  </si>
  <si>
    <t>Colonia Floresta del Colli y Colonia Nuevo México</t>
  </si>
  <si>
    <t>112 ML</t>
  </si>
  <si>
    <t>1,114.44 ML</t>
  </si>
  <si>
    <t>727.89 M2</t>
  </si>
  <si>
    <t>Colonia Cabañitas</t>
  </si>
  <si>
    <t>20 ML</t>
  </si>
  <si>
    <t>Localidad San Esteban</t>
  </si>
  <si>
    <t>1,285 ML</t>
  </si>
  <si>
    <t>Localidad Milpillas</t>
  </si>
  <si>
    <t>Colonia Fovissste</t>
  </si>
  <si>
    <t>1,380 M2</t>
  </si>
  <si>
    <t>Colonia Jardines del Sol</t>
  </si>
  <si>
    <t>1,461.14 M2</t>
  </si>
  <si>
    <t xml:space="preserve">Ing. Pablo </t>
  </si>
  <si>
    <t xml:space="preserve">Gutiérrez </t>
  </si>
  <si>
    <t>Colonia El Vergel, Colonia Santa Margarita y Localidad Santa Ana Tepatitlán</t>
  </si>
  <si>
    <t>1,270 M2</t>
  </si>
  <si>
    <t>Colonia Mesa Colorada</t>
  </si>
  <si>
    <t>660 ML</t>
  </si>
  <si>
    <t>Colonia Marcelino García Barragán</t>
  </si>
  <si>
    <t>447 ML</t>
  </si>
  <si>
    <t>1 SERVICIO</t>
  </si>
  <si>
    <t xml:space="preserve">Arq. Emmanuel </t>
  </si>
  <si>
    <t xml:space="preserve">Martínez </t>
  </si>
  <si>
    <t>Col. Prados de Santa Lucia</t>
  </si>
  <si>
    <t>564 ML</t>
  </si>
  <si>
    <t>Col. Agua Fría</t>
  </si>
  <si>
    <t>1,031 M2</t>
  </si>
  <si>
    <t>1,027 M2</t>
  </si>
  <si>
    <t>Col. Indígena de Mezquitán Sección I</t>
  </si>
  <si>
    <t>355 ML</t>
  </si>
  <si>
    <t>Localidad de Copalita</t>
  </si>
  <si>
    <t>17,660 M2</t>
  </si>
  <si>
    <t>Ing. Fernando</t>
  </si>
  <si>
    <t>1,700 ML</t>
  </si>
  <si>
    <t>Arq. Alheli Guadalupe</t>
  </si>
  <si>
    <t>691 M2</t>
  </si>
  <si>
    <t>21 PZAS</t>
  </si>
  <si>
    <t>Colonia El Tigre</t>
  </si>
  <si>
    <t>600 ML</t>
  </si>
  <si>
    <t>Ing. Camilo</t>
  </si>
  <si>
    <t xml:space="preserve">Ing. Fernando  </t>
  </si>
  <si>
    <t>Colonia Chapalita</t>
  </si>
  <si>
    <t>1 PROYECTO</t>
  </si>
  <si>
    <t>490 M2</t>
  </si>
  <si>
    <t>Arq. Eduardo</t>
  </si>
  <si>
    <t>80 ML</t>
  </si>
  <si>
    <t>L.u.m.a. Juan José</t>
  </si>
  <si>
    <t>40 PIEZAS</t>
  </si>
  <si>
    <t>504 M2</t>
  </si>
  <si>
    <t>1,136 M2</t>
  </si>
  <si>
    <t>Ing.Arq. Karina Fabiola</t>
  </si>
  <si>
    <t>5,662 M2</t>
  </si>
  <si>
    <t>Ing. Oscar Ivan</t>
  </si>
  <si>
    <t>6,946 M2</t>
  </si>
  <si>
    <t>Colonias Villas Universidad, Royal Country y Puerta Plata</t>
  </si>
  <si>
    <t>2,162 ML</t>
  </si>
  <si>
    <t xml:space="preserve">Villa </t>
  </si>
  <si>
    <t>Colonia Las Agujas</t>
  </si>
  <si>
    <t>3,645 ML</t>
  </si>
  <si>
    <t>Ing. Juan José</t>
  </si>
  <si>
    <t>260 ML</t>
  </si>
  <si>
    <t>Colonia El Briseño</t>
  </si>
  <si>
    <t>4,523 ML</t>
  </si>
  <si>
    <t xml:space="preserve">Ing. José Rafael </t>
  </si>
  <si>
    <t>Colonia Colomos II</t>
  </si>
  <si>
    <t>643 ML</t>
  </si>
  <si>
    <t>Relleno Sanitario de Picachos</t>
  </si>
  <si>
    <t>3 PIEZAS</t>
  </si>
  <si>
    <t>Colonias Las Aguilas y Las Fuentes</t>
  </si>
  <si>
    <t>93 ML</t>
  </si>
  <si>
    <t>Arq. Daniel</t>
  </si>
  <si>
    <t xml:space="preserve">Torres </t>
  </si>
  <si>
    <t>Covarrubias</t>
  </si>
  <si>
    <t>Colonias Arcos de Zapopan y Loma Bonita Ejidal</t>
  </si>
  <si>
    <t>963 M2</t>
  </si>
  <si>
    <t>Suministro y colocación de estructuras de protección de rayos ultravioleta en los planteles educativos: Secundaria José Antonio Torres (14DE50017T) y Carlos González Peña (14EPR1341C), municipio de Zapopan, Jalisco.</t>
  </si>
  <si>
    <t>975 M2</t>
  </si>
  <si>
    <t>Arq. Joel</t>
  </si>
  <si>
    <t>Colonia Villas Torremolinos</t>
  </si>
  <si>
    <t>4,800 ML</t>
  </si>
  <si>
    <t>Colonia Loma Bonita Ejidal</t>
  </si>
  <si>
    <t>4,000 M2</t>
  </si>
  <si>
    <t>4,232 M2</t>
  </si>
  <si>
    <t>Arq. Carlos Gerardo</t>
  </si>
  <si>
    <t>3,976 M2</t>
  </si>
  <si>
    <t>905 M2</t>
  </si>
  <si>
    <t>Colonia Industrial El Colli</t>
  </si>
  <si>
    <t>250 M2</t>
  </si>
  <si>
    <t>Ing. José Rafael</t>
  </si>
  <si>
    <t>Colonia Rinconada Del Parque</t>
  </si>
  <si>
    <t>950 M2</t>
  </si>
  <si>
    <t>129 M2</t>
  </si>
  <si>
    <t>Colonia Arcos de Guadalupe</t>
  </si>
  <si>
    <t>428 ML</t>
  </si>
  <si>
    <t xml:space="preserve">Arq. Sarahí </t>
  </si>
  <si>
    <t>Barnard</t>
  </si>
  <si>
    <t>Román</t>
  </si>
  <si>
    <t>2,633 M2</t>
  </si>
  <si>
    <t>2,533 M2</t>
  </si>
  <si>
    <t>845 M3</t>
  </si>
  <si>
    <t>145 ML</t>
  </si>
  <si>
    <t>6,141 M2</t>
  </si>
  <si>
    <t>Ing. Fernando            </t>
  </si>
  <si>
    <t>3,764 M2</t>
  </si>
  <si>
    <t>2,711 M2</t>
  </si>
  <si>
    <t>90 chorros</t>
  </si>
  <si>
    <t>1,152 m2</t>
  </si>
  <si>
    <t>1,137.6 m2</t>
  </si>
  <si>
    <t>Col. San Juan de Ocotán</t>
  </si>
  <si>
    <t>4,070 M2</t>
  </si>
  <si>
    <t>Arq. Jorge Adriel</t>
  </si>
  <si>
    <t xml:space="preserve"> Guzmán </t>
  </si>
  <si>
    <t>157 ML</t>
  </si>
  <si>
    <t>823 M2</t>
  </si>
  <si>
    <t>Colonia San Juan de Ocotán</t>
  </si>
  <si>
    <t>6,829 M2</t>
  </si>
  <si>
    <t>12,250 m2</t>
  </si>
  <si>
    <t>Col. El Zapote I y Col. Hogares de Nuevo México</t>
  </si>
  <si>
    <t>2,800 ML</t>
  </si>
  <si>
    <t>Col. Paseos del Briseño</t>
  </si>
  <si>
    <t>2,492 M2</t>
  </si>
  <si>
    <t xml:space="preserve">Arq. Daniel </t>
  </si>
  <si>
    <t xml:space="preserve">Covarrubias     </t>
  </si>
  <si>
    <t>Col. Loma Chica</t>
  </si>
  <si>
    <t>Col. Villa de Guadalupe</t>
  </si>
  <si>
    <t>1,029 M2</t>
  </si>
  <si>
    <t>5,110 M2</t>
  </si>
  <si>
    <t>1,780 M2</t>
  </si>
  <si>
    <t>2,124 M2</t>
  </si>
  <si>
    <t>3,690 M2</t>
  </si>
  <si>
    <t>Col. Santa Maria del Pueblito</t>
  </si>
  <si>
    <t>500 ML</t>
  </si>
  <si>
    <t xml:space="preserve">Col. Los Paraisos, Col. Santa Margarita 1a sección y Col. Nuevo México </t>
  </si>
  <si>
    <t>6 MÓDULOS</t>
  </si>
  <si>
    <t>Col. Lomas de Tabachines</t>
  </si>
  <si>
    <t>960 M2</t>
  </si>
  <si>
    <t xml:space="preserve">Ing. Álvaro </t>
  </si>
  <si>
    <t xml:space="preserve">Orozco </t>
  </si>
  <si>
    <t>Col. Mesa Colorada</t>
  </si>
  <si>
    <t>123 ML</t>
  </si>
  <si>
    <t>Col. Miguel de la Madrid</t>
  </si>
  <si>
    <t xml:space="preserve">Ing. Jose Rafael </t>
  </si>
  <si>
    <t>295.7 M3</t>
  </si>
  <si>
    <t>Col. El Tigre II</t>
  </si>
  <si>
    <t>2,604 M2</t>
  </si>
  <si>
    <t>Col. Lomas de Tabachines I</t>
  </si>
  <si>
    <t>504 ML</t>
  </si>
  <si>
    <t xml:space="preserve"> Román</t>
  </si>
  <si>
    <t>1,517 M2</t>
  </si>
  <si>
    <t xml:space="preserve">Ing. Guillermo Joel </t>
  </si>
  <si>
    <t xml:space="preserve">Quintero </t>
  </si>
  <si>
    <t>1,422 M2</t>
  </si>
  <si>
    <t>Arq. Víctor Manuel</t>
  </si>
  <si>
    <t xml:space="preserve"> Lomelí </t>
  </si>
  <si>
    <t>5,106 M2</t>
  </si>
  <si>
    <t>400 ML</t>
  </si>
  <si>
    <t xml:space="preserve">Ing. Juan Pablo </t>
  </si>
  <si>
    <t xml:space="preserve">Romo </t>
  </si>
  <si>
    <t>1,670 ML</t>
  </si>
  <si>
    <t xml:space="preserve">Velasco </t>
  </si>
  <si>
    <t>555 ML</t>
  </si>
  <si>
    <t>1,360 M2</t>
  </si>
  <si>
    <t>1,712 M2</t>
  </si>
  <si>
    <t>945 ML</t>
  </si>
  <si>
    <t>31 PZA</t>
  </si>
  <si>
    <t>350 ML</t>
  </si>
  <si>
    <t>505,839 M2</t>
  </si>
  <si>
    <t>663 ML</t>
  </si>
  <si>
    <t xml:space="preserve">Barnard </t>
  </si>
  <si>
    <t>715 ML</t>
  </si>
  <si>
    <t>155 ML</t>
  </si>
  <si>
    <t>812 M3</t>
  </si>
  <si>
    <t>Covarrubias </t>
  </si>
  <si>
    <t>7,080 M2</t>
  </si>
  <si>
    <t>5,225 M2</t>
  </si>
  <si>
    <t>8,317 M2</t>
  </si>
  <si>
    <t>7,420 M2</t>
  </si>
  <si>
    <t>1,734 M2</t>
  </si>
  <si>
    <t>2,120 M2</t>
  </si>
  <si>
    <t xml:space="preserve">Ing. Arq. Karina Fabiola </t>
  </si>
  <si>
    <t>4,746 M2</t>
  </si>
  <si>
    <t>441 M2</t>
  </si>
  <si>
    <t>3,145 M2</t>
  </si>
  <si>
    <t>2,112 M2</t>
  </si>
  <si>
    <t>2,238 M2</t>
  </si>
  <si>
    <t>1,973 M2</t>
  </si>
  <si>
    <t>3,358 M2</t>
  </si>
  <si>
    <t>Construcción de sistema de saneamiento primario y red de drenaje en las calles: Esmeralda, Turquesa, Obsidiana, Rubí, Roca, Zafiro, Jade y Cantera en la colonia Pedregal de Milpillas, municipio de Zapopan, Jalisco.</t>
  </si>
  <si>
    <t>536 ML</t>
  </si>
  <si>
    <t>Construcción de red de Agua Potable y Drenaje en las calles Privada Ignacio Allende, Emiliano Zapata, Revolución, Hidalgo, Venustiano Carranza y Libertad en la colonia Revolución, municipio de Zapopan, Jalisco.</t>
  </si>
  <si>
    <t>384 ML</t>
  </si>
  <si>
    <t>1,316 M2</t>
  </si>
  <si>
    <t xml:space="preserve"> García </t>
  </si>
  <si>
    <t>957 M3</t>
  </si>
  <si>
    <t>Arq. Daniel           </t>
  </si>
  <si>
    <t>Construcción de Colector y red de drenaje sanitario en las calles Naranjo, Mandarina, Chabacano, Limón, Manzano, Mango, Las Torres, Guamúchil y Capulín en la colonia Colinas del Rio, municipio de Zapopan, Jalisco. Frente 2.</t>
  </si>
  <si>
    <t>1,100 ML</t>
  </si>
  <si>
    <t>Pavimentación con concreto hidráulico y complemento de las redes de agua potable y drenaje sanitario en calles de la colonia El Fresno, incluye: guarniciones, banquetas, servicios complementarios y señalética, en el municipio de Zapopan, Jalisco, primera etapa, frente 2.</t>
  </si>
  <si>
    <t>1,703 M2</t>
  </si>
  <si>
    <t>774 M2</t>
  </si>
  <si>
    <t xml:space="preserve">Arq. Maria Elena </t>
  </si>
  <si>
    <t xml:space="preserve">Zamago </t>
  </si>
  <si>
    <t>Osuna</t>
  </si>
  <si>
    <t>12,047 M2</t>
  </si>
  <si>
    <t>Ing. Miguel</t>
  </si>
  <si>
    <t xml:space="preserve"> Frausto </t>
  </si>
  <si>
    <t>1,504 M2</t>
  </si>
  <si>
    <t>Colonia Paseos del Sol</t>
  </si>
  <si>
    <t>14,736 M2</t>
  </si>
  <si>
    <t>Colonia Lomas del Centinela</t>
  </si>
  <si>
    <t>99 M2</t>
  </si>
  <si>
    <t>340 ML</t>
  </si>
  <si>
    <t>130 M2</t>
  </si>
  <si>
    <t>1,620 M2</t>
  </si>
  <si>
    <t>562 M2</t>
  </si>
  <si>
    <t>265 M3</t>
  </si>
  <si>
    <t>269 M3</t>
  </si>
  <si>
    <t>Colonias Constitución, El Colli y Villa de Guadalupe</t>
  </si>
  <si>
    <t>100 M2</t>
  </si>
  <si>
    <t>Colonia Atemajac del Valle</t>
  </si>
  <si>
    <t>Colonia Diaz Ordaz</t>
  </si>
  <si>
    <t>268 M3</t>
  </si>
  <si>
    <t>Colonias San Wenceslao y Villa Universitaria</t>
  </si>
  <si>
    <t>172 M3</t>
  </si>
  <si>
    <t>Colonia Loma Chica</t>
  </si>
  <si>
    <t>180 M3</t>
  </si>
  <si>
    <t>266 M3</t>
  </si>
  <si>
    <t>Flores</t>
  </si>
  <si>
    <t xml:space="preserve"> Franco</t>
  </si>
  <si>
    <t>920 M2</t>
  </si>
  <si>
    <t>608 M2</t>
  </si>
  <si>
    <t>Col. Los Cajetes</t>
  </si>
  <si>
    <t>450 ML</t>
  </si>
  <si>
    <t>Arenales Tapatios</t>
  </si>
  <si>
    <t>1,063 M2</t>
  </si>
  <si>
    <t>1,335 M2</t>
  </si>
  <si>
    <t xml:space="preserve"> Peña</t>
  </si>
  <si>
    <t>Col. La Coronilla</t>
  </si>
  <si>
    <t>248 M3</t>
  </si>
  <si>
    <t>281 M3</t>
  </si>
  <si>
    <t>210 M3</t>
  </si>
  <si>
    <t>184 M3</t>
  </si>
  <si>
    <t>1,010 ML</t>
  </si>
  <si>
    <t>650 ML</t>
  </si>
  <si>
    <t>Ing. Guillermo Joel</t>
  </si>
  <si>
    <t xml:space="preserve"> Quintero </t>
  </si>
  <si>
    <t>1,045 ML</t>
  </si>
  <si>
    <t>3,205 ML</t>
  </si>
  <si>
    <t>2,122 ML</t>
  </si>
  <si>
    <t>1,709 M2</t>
  </si>
  <si>
    <t>1,897 M2</t>
  </si>
  <si>
    <t>98 ML</t>
  </si>
  <si>
    <t xml:space="preserve"> Velasco </t>
  </si>
  <si>
    <t>2,086 M2</t>
  </si>
  <si>
    <t>789 ML</t>
  </si>
  <si>
    <t>760 ML</t>
  </si>
  <si>
    <t>282 ML</t>
  </si>
  <si>
    <t>1,475 ML</t>
  </si>
  <si>
    <t>Col. Lomas del Centinela 2</t>
  </si>
  <si>
    <t>740 ML</t>
  </si>
  <si>
    <t>5,692 ML</t>
  </si>
  <si>
    <t>568 M2</t>
  </si>
  <si>
    <t>16 PZA</t>
  </si>
  <si>
    <t>6 PZA</t>
  </si>
  <si>
    <t>2,640 M2</t>
  </si>
  <si>
    <t>Ing. Fernando         </t>
  </si>
  <si>
    <t>López          </t>
  </si>
  <si>
    <t>2,013 M2</t>
  </si>
  <si>
    <t>3,584 M2</t>
  </si>
  <si>
    <t xml:space="preserve"> Evangelista</t>
  </si>
  <si>
    <t>3,615 M2</t>
  </si>
  <si>
    <t>3,475 M2</t>
  </si>
  <si>
    <t>3,454 M2</t>
  </si>
  <si>
    <t>2,933 M2</t>
  </si>
  <si>
    <t>2,720 M2</t>
  </si>
  <si>
    <t>1,361 M2</t>
  </si>
  <si>
    <t>1,438 M2</t>
  </si>
  <si>
    <t>Zona de Las Mesas</t>
  </si>
  <si>
    <t>660 M2</t>
  </si>
  <si>
    <t>Cuevas</t>
  </si>
  <si>
    <t xml:space="preserve"> Murillo</t>
  </si>
  <si>
    <t>Ejido Copalita</t>
  </si>
  <si>
    <t>392 ML</t>
  </si>
  <si>
    <t>Colonias: La Granja, Las Agujas y Vista Hermosa</t>
  </si>
  <si>
    <t>489 ML</t>
  </si>
  <si>
    <t>Quintero</t>
  </si>
  <si>
    <t xml:space="preserve"> Padilla</t>
  </si>
  <si>
    <t>28 M2</t>
  </si>
  <si>
    <t xml:space="preserve"> Quirarte </t>
  </si>
  <si>
    <t>Colonia Miguel Hidalgo</t>
  </si>
  <si>
    <t>512 ML</t>
  </si>
  <si>
    <t>619 M2</t>
  </si>
  <si>
    <t>1,296 M2</t>
  </si>
  <si>
    <t>1,015 M2</t>
  </si>
  <si>
    <t>4,885 M2</t>
  </si>
  <si>
    <t>676 M2</t>
  </si>
  <si>
    <t>722 ML</t>
  </si>
  <si>
    <t>934 ML</t>
  </si>
  <si>
    <t>3,975.00 M2</t>
  </si>
  <si>
    <t>Arq. Maria Elena</t>
  </si>
  <si>
    <t xml:space="preserve"> Zamago </t>
  </si>
  <si>
    <t>1,370.33 M2</t>
  </si>
  <si>
    <t>956.47 M2</t>
  </si>
  <si>
    <t>1,941.61 M2</t>
  </si>
  <si>
    <t>1,461 M2</t>
  </si>
  <si>
    <t>870 M2</t>
  </si>
  <si>
    <t>115 M3</t>
  </si>
  <si>
    <t>919 M2</t>
  </si>
  <si>
    <t>2,673 M2</t>
  </si>
  <si>
    <t>2,650.00 M2</t>
  </si>
  <si>
    <t>Cruz Verde Federalismo</t>
  </si>
  <si>
    <t>55 M2</t>
  </si>
  <si>
    <t>Colonia Pedregal de Zapopan</t>
  </si>
  <si>
    <t>176 M2</t>
  </si>
  <si>
    <t>Velasco</t>
  </si>
  <si>
    <t>Colonia Agrícola</t>
  </si>
  <si>
    <t>365 ML</t>
  </si>
  <si>
    <t xml:space="preserve">Ing. Alvaro </t>
  </si>
  <si>
    <t>Gutierrez</t>
  </si>
  <si>
    <t>Colonia El Mante</t>
  </si>
  <si>
    <t>82 M3</t>
  </si>
  <si>
    <t>297 M2</t>
  </si>
  <si>
    <t>Colonia Tepeyac</t>
  </si>
  <si>
    <t>800 ML</t>
  </si>
  <si>
    <t>Colonia Villa de los Belenes</t>
  </si>
  <si>
    <t>640 ML</t>
  </si>
  <si>
    <t>Villa               </t>
  </si>
  <si>
    <t>López    </t>
  </si>
  <si>
    <t>Mesa Colorada</t>
  </si>
  <si>
    <t>489 M2</t>
  </si>
  <si>
    <t>1,051.32 M2</t>
  </si>
  <si>
    <t>Arq. Daniel                 </t>
  </si>
  <si>
    <t>Covarrubias  </t>
  </si>
  <si>
    <t>985.00 ML</t>
  </si>
  <si>
    <t>585.92 M2</t>
  </si>
  <si>
    <t>1,232.00 M2</t>
  </si>
  <si>
    <t>1,435.29 M2</t>
  </si>
  <si>
    <t>1,675.59 M2</t>
  </si>
  <si>
    <t>1,023.75 M2</t>
  </si>
  <si>
    <t>952.15 ML</t>
  </si>
  <si>
    <t>835.81 ML</t>
  </si>
  <si>
    <t>1,581.66 M2</t>
  </si>
  <si>
    <t>1,369.44 M2</t>
  </si>
  <si>
    <t>18,735.50 M2</t>
  </si>
  <si>
    <t>Colonia La Tuzania Ejidal</t>
  </si>
  <si>
    <t>1,298 M2</t>
  </si>
  <si>
    <t>Ciudad Granja</t>
  </si>
  <si>
    <t>1,201 M2</t>
  </si>
  <si>
    <t>Colonia Los Pinos</t>
  </si>
  <si>
    <t>1186.00 M2</t>
  </si>
  <si>
    <t>Arq. Daniel            </t>
  </si>
  <si>
    <t xml:space="preserve"> Torres       </t>
  </si>
  <si>
    <t>Colonia Jarfdines de San Ignacio</t>
  </si>
  <si>
    <t>1,150 M2</t>
  </si>
  <si>
    <t>2,856.00 M2</t>
  </si>
  <si>
    <t>1,510.01 M2</t>
  </si>
  <si>
    <t>1,941.69 M2</t>
  </si>
  <si>
    <t>4,778.50 M2</t>
  </si>
  <si>
    <t>Colonia Puerta de Hierro</t>
  </si>
  <si>
    <t>120.20 M2</t>
  </si>
  <si>
    <t>Colonia La Tarjea</t>
  </si>
  <si>
    <t>134.13 ML</t>
  </si>
  <si>
    <t>Colonia El Alamo</t>
  </si>
  <si>
    <t>348.00 ML</t>
  </si>
  <si>
    <t>1,210.23 M2</t>
  </si>
  <si>
    <t>Zapopan</t>
  </si>
  <si>
    <t>Colonia Parque Industrial Los Belenes</t>
  </si>
  <si>
    <t>512.00 M2</t>
  </si>
  <si>
    <t>320.08 ML</t>
  </si>
  <si>
    <t>Localidad Venta del Astillero y Atemajac</t>
  </si>
  <si>
    <t>18.00 M2</t>
  </si>
  <si>
    <t>Colonia Jardines del Álamo</t>
  </si>
  <si>
    <t>206.00 ML</t>
  </si>
  <si>
    <t>250.00 ML</t>
  </si>
  <si>
    <t>7,316 M2</t>
  </si>
  <si>
    <t>Ing. Fernando </t>
  </si>
  <si>
    <t xml:space="preserve"> Villa </t>
  </si>
  <si>
    <t>13,920 M2</t>
  </si>
  <si>
    <t>12,112 M2</t>
  </si>
  <si>
    <t>3,608 M2</t>
  </si>
  <si>
    <t>3,013 M2</t>
  </si>
  <si>
    <t>3,372 M2</t>
  </si>
  <si>
    <t>1,653.81 M2</t>
  </si>
  <si>
    <t>2,670.00 M2</t>
  </si>
  <si>
    <t>1,402.53 M2</t>
  </si>
  <si>
    <t>1,896.15 M2</t>
  </si>
  <si>
    <t>872.01 M2</t>
  </si>
  <si>
    <t>950.24 M2</t>
  </si>
  <si>
    <t>Colonia Rancho El Centinela</t>
  </si>
  <si>
    <t>828.00 M2</t>
  </si>
  <si>
    <t>Zona Andares</t>
  </si>
  <si>
    <t>Colonia Miramar y Relleno Sanitario Picachos</t>
  </si>
  <si>
    <t>8 PZA</t>
  </si>
  <si>
    <t>Localidad de Santa Ana Tepetitlán</t>
  </si>
  <si>
    <t>265.00 M2</t>
  </si>
  <si>
    <t>Arq. Gerardo</t>
  </si>
  <si>
    <t xml:space="preserve"> Arceo </t>
  </si>
  <si>
    <t>Colonia Hacienda la Herradura</t>
  </si>
  <si>
    <t>1,264 M2</t>
  </si>
  <si>
    <t>464 M2</t>
  </si>
  <si>
    <t>1,365 M2</t>
  </si>
  <si>
    <t>4,098 M2</t>
  </si>
  <si>
    <t>3,892 M2</t>
  </si>
  <si>
    <t>1,560 M2</t>
  </si>
  <si>
    <t>3,158 M2</t>
  </si>
  <si>
    <t>1,230 M2</t>
  </si>
  <si>
    <t>5,300 M2</t>
  </si>
  <si>
    <t>3,028 M2</t>
  </si>
  <si>
    <t>5,507 M2</t>
  </si>
  <si>
    <t>1,910 ML</t>
  </si>
  <si>
    <t>436 ML</t>
  </si>
  <si>
    <t>2,150 M2</t>
  </si>
  <si>
    <t>326 M2</t>
  </si>
  <si>
    <t>642 M2</t>
  </si>
  <si>
    <t>3,150 M2</t>
  </si>
  <si>
    <t>1,654 M2</t>
  </si>
  <si>
    <t>2,280 M2</t>
  </si>
  <si>
    <t>1,307 M2</t>
  </si>
  <si>
    <t>2,291 M2</t>
  </si>
  <si>
    <t>3,524 M2</t>
  </si>
  <si>
    <t>210 M2</t>
  </si>
  <si>
    <t>3,750 M2</t>
  </si>
  <si>
    <t>3,492 M2</t>
  </si>
  <si>
    <t>435 M2</t>
  </si>
  <si>
    <t>6,136 M2</t>
  </si>
  <si>
    <t>543 M2</t>
  </si>
  <si>
    <t>1,850 M2</t>
  </si>
  <si>
    <t>478 M2</t>
  </si>
  <si>
    <t>4,492 M2</t>
  </si>
  <si>
    <t>722 M2</t>
  </si>
  <si>
    <t>2,436 M2</t>
  </si>
  <si>
    <t>Colonias Misión del Bosque, San Francisco de Ixcatán, Rio Blanco y Ampliación Copala</t>
  </si>
  <si>
    <t>1,865 M2</t>
  </si>
  <si>
    <t>143 ML</t>
  </si>
  <si>
    <t>2,191 M2</t>
  </si>
  <si>
    <t>1,052 M2</t>
  </si>
  <si>
    <t>Colonias Girasoles Elite y Las Casitas</t>
  </si>
  <si>
    <t>4,356 M2</t>
  </si>
  <si>
    <t>Colonia El Colli CTM</t>
  </si>
  <si>
    <t>2,400 M2</t>
  </si>
  <si>
    <t>Colonia Tabachines</t>
  </si>
  <si>
    <t>2,300 M2</t>
  </si>
  <si>
    <t>Colonia Atemajac</t>
  </si>
  <si>
    <t>540 M2</t>
  </si>
  <si>
    <t>25 ESTUDIOS</t>
  </si>
  <si>
    <t>Colonia Lagos del Country</t>
  </si>
  <si>
    <t>724 M2</t>
  </si>
  <si>
    <t>Colonia Constituyentes</t>
  </si>
  <si>
    <t>328 M2</t>
  </si>
  <si>
    <t>1,750 M2</t>
  </si>
  <si>
    <t>4 PROYECTOS</t>
  </si>
  <si>
    <t>368 M2</t>
  </si>
  <si>
    <t>Localidad Pedregal de Milpillas</t>
  </si>
  <si>
    <t>262 ML</t>
  </si>
  <si>
    <t>259 ML</t>
  </si>
  <si>
    <t>Colonia El Zapote II</t>
  </si>
  <si>
    <t>988 M2</t>
  </si>
  <si>
    <t>994 M2</t>
  </si>
  <si>
    <t>1,021 M2</t>
  </si>
  <si>
    <t>Colonia La Loma</t>
  </si>
  <si>
    <t>Colonias: Centro, El Vigia, Santa Ana Tepetitlán, Jardines del Valle, Lomas de Tabachines, Paraisos del Colli y Vicente Guerrero</t>
  </si>
  <si>
    <t>1,633 M2</t>
  </si>
  <si>
    <t>Colonias: Pinar de la Calma, Los Cajetes, El Briseño, Mariano Otero y Paseos del Briseño.</t>
  </si>
  <si>
    <t>1,648 M2</t>
  </si>
  <si>
    <t>Colonia El Fresno</t>
  </si>
  <si>
    <t>624 M2</t>
  </si>
  <si>
    <t>615 m2</t>
  </si>
  <si>
    <t>1,158 M2</t>
  </si>
  <si>
    <t>432 M2</t>
  </si>
  <si>
    <t>120 ML</t>
  </si>
  <si>
    <t>Colonia El Colli</t>
  </si>
  <si>
    <t>403 M2</t>
  </si>
  <si>
    <t>896 M2</t>
  </si>
  <si>
    <t>625M2</t>
  </si>
  <si>
    <t>Ing. Fernando   </t>
  </si>
  <si>
    <t>Villa     </t>
  </si>
  <si>
    <t>Colonia Agua Fria</t>
  </si>
  <si>
    <t>1,890 M2</t>
  </si>
  <si>
    <t>Colonia Tuzania Ejidal</t>
  </si>
  <si>
    <t>2,005 M2</t>
  </si>
  <si>
    <t>290 ML</t>
  </si>
  <si>
    <t>180 M2</t>
  </si>
  <si>
    <t>Venta del Astillero</t>
  </si>
  <si>
    <t>412 ML</t>
  </si>
  <si>
    <t>Colonia Paseos del Briseño</t>
  </si>
  <si>
    <t>Arq. Daniel  </t>
  </si>
  <si>
    <t>Colonia Valle de los Molinos</t>
  </si>
  <si>
    <t>38 ESTUDIOS</t>
  </si>
  <si>
    <t>46 ESTUDIOS</t>
  </si>
  <si>
    <t>692 ML</t>
  </si>
  <si>
    <t>Colonia Miguel de la Madrid</t>
  </si>
  <si>
    <t>482 M2</t>
  </si>
  <si>
    <t>125 ML</t>
  </si>
  <si>
    <t>115 ML</t>
  </si>
  <si>
    <t>1,206 M2</t>
  </si>
  <si>
    <t>229 ML</t>
  </si>
  <si>
    <t>7,059 M2</t>
  </si>
  <si>
    <t>116 M2</t>
  </si>
  <si>
    <t>Nixticuitl</t>
  </si>
  <si>
    <t>88 M2</t>
  </si>
  <si>
    <t>Villa       </t>
  </si>
  <si>
    <t xml:space="preserve"> López</t>
  </si>
  <si>
    <t>Colonia Altamira</t>
  </si>
  <si>
    <t>7,960 M2</t>
  </si>
  <si>
    <t>622 M2</t>
  </si>
  <si>
    <t>9,186 M2</t>
  </si>
  <si>
    <t xml:space="preserve"> Aguayo </t>
  </si>
  <si>
    <t>1,284 M2</t>
  </si>
  <si>
    <t>3,165 ML</t>
  </si>
  <si>
    <t>Colonia Belenes Norte</t>
  </si>
  <si>
    <t>524 ML</t>
  </si>
  <si>
    <t>4,758 M2</t>
  </si>
  <si>
    <t xml:space="preserve"> Laguna </t>
  </si>
  <si>
    <t>303 M2</t>
  </si>
  <si>
    <t>Localidad San Juan de Ocotán</t>
  </si>
  <si>
    <t>97 ML</t>
  </si>
  <si>
    <t>Colonia Miramar</t>
  </si>
  <si>
    <t>Colonia Jardines del Valle</t>
  </si>
  <si>
    <t>779 M2</t>
  </si>
  <si>
    <t>Colonia Francisco Villa</t>
  </si>
  <si>
    <t>175 M2</t>
  </si>
  <si>
    <t>700 M2</t>
  </si>
  <si>
    <t>550 M2</t>
  </si>
  <si>
    <t>Colonia La Palmita y Colonia Parques de Tesistán</t>
  </si>
  <si>
    <t>1,605 M2</t>
  </si>
  <si>
    <t>22,834 M2</t>
  </si>
  <si>
    <t>3,838 M2</t>
  </si>
  <si>
    <t xml:space="preserve"> Leos</t>
  </si>
  <si>
    <t>38.9 ML</t>
  </si>
  <si>
    <t>1,413 M2</t>
  </si>
  <si>
    <t>965 M2</t>
  </si>
  <si>
    <t>65 PZA</t>
  </si>
  <si>
    <t>39 PZA</t>
  </si>
  <si>
    <t>48 PZA</t>
  </si>
  <si>
    <t>22 PZA</t>
  </si>
  <si>
    <t>18 PZA</t>
  </si>
  <si>
    <t>21 PZA</t>
  </si>
  <si>
    <t>199 ML</t>
  </si>
  <si>
    <t>192 ML</t>
  </si>
  <si>
    <t>186 ML</t>
  </si>
  <si>
    <t>1,990 M2</t>
  </si>
  <si>
    <t>867 ML</t>
  </si>
  <si>
    <t>4,662 M2</t>
  </si>
  <si>
    <t>5,023 M2</t>
  </si>
  <si>
    <t>4,870 M2</t>
  </si>
  <si>
    <t>4,463 M2</t>
  </si>
  <si>
    <t>3,562 M2</t>
  </si>
  <si>
    <t>2,555 M2</t>
  </si>
  <si>
    <t>1,611 M2</t>
  </si>
  <si>
    <t>3,302 M2</t>
  </si>
  <si>
    <t>1,091 M2</t>
  </si>
  <si>
    <t>2,347 M2</t>
  </si>
  <si>
    <t>2,027 M2</t>
  </si>
  <si>
    <t>101 M3</t>
  </si>
  <si>
    <t>467 M2</t>
  </si>
  <si>
    <t>530 M2</t>
  </si>
  <si>
    <t>323 M2</t>
  </si>
  <si>
    <t>469 M2</t>
  </si>
  <si>
    <t>425 M2</t>
  </si>
  <si>
    <t>1,044 M2</t>
  </si>
  <si>
    <t>2,716 M2</t>
  </si>
  <si>
    <t>678 M2</t>
  </si>
  <si>
    <t>360 M2</t>
  </si>
  <si>
    <t>532 M2</t>
  </si>
  <si>
    <t>Romo</t>
  </si>
  <si>
    <t>531 M2</t>
  </si>
  <si>
    <t>924 M2</t>
  </si>
  <si>
    <t>418 M2</t>
  </si>
  <si>
    <t>390 ML</t>
  </si>
  <si>
    <t>273 ML</t>
  </si>
  <si>
    <t>1,820 M2</t>
  </si>
  <si>
    <t>1,635 M2</t>
  </si>
  <si>
    <t>1,367 M2</t>
  </si>
  <si>
    <t>320 ML</t>
  </si>
  <si>
    <t>900 M2</t>
  </si>
  <si>
    <t>3,400 M2</t>
  </si>
  <si>
    <t>990 M2</t>
  </si>
  <si>
    <t>27,919 PZA</t>
  </si>
  <si>
    <t xml:space="preserve"> Tejeda </t>
  </si>
  <si>
    <t>421 M2</t>
  </si>
  <si>
    <t>970 M2</t>
  </si>
  <si>
    <t>815 M2</t>
  </si>
  <si>
    <t xml:space="preserve"> Ozuna</t>
  </si>
  <si>
    <t>1,395 M2</t>
  </si>
  <si>
    <t>1,065 M2</t>
  </si>
  <si>
    <t>610 M2</t>
  </si>
  <si>
    <t>4,100 M2</t>
  </si>
  <si>
    <t>3,650 M2</t>
  </si>
  <si>
    <t>4,050 M2</t>
  </si>
  <si>
    <t>3,890 M2</t>
  </si>
  <si>
    <t>2,088 M2</t>
  </si>
  <si>
    <t>1,536 M2</t>
  </si>
  <si>
    <t>24,311 M2</t>
  </si>
  <si>
    <t>1,955 M2</t>
  </si>
  <si>
    <t>6 proyectos</t>
  </si>
  <si>
    <t>367 M3</t>
  </si>
  <si>
    <t>46,662 ML</t>
  </si>
  <si>
    <t>1,240 ML</t>
  </si>
  <si>
    <t>105 M2</t>
  </si>
  <si>
    <t>Colonia Juan Gil Preciado</t>
  </si>
  <si>
    <t>838 M2</t>
  </si>
  <si>
    <t>612 M2</t>
  </si>
  <si>
    <t>Ing. Fernando  </t>
  </si>
  <si>
    <t xml:space="preserve">López </t>
  </si>
  <si>
    <t>Colonia Los Paraisos</t>
  </si>
  <si>
    <t>1,318 M2</t>
  </si>
  <si>
    <t>1,021.5 M2</t>
  </si>
  <si>
    <t>Colonia El Vigía</t>
  </si>
  <si>
    <t>Localidad de San Juan de Ocotan</t>
  </si>
  <si>
    <t>855 m2</t>
  </si>
  <si>
    <t>385 ML</t>
  </si>
  <si>
    <t>6,185 M2</t>
  </si>
  <si>
    <t>6,439 M2</t>
  </si>
  <si>
    <t>6,343 M2</t>
  </si>
  <si>
    <t>Zona Centro</t>
  </si>
  <si>
    <t>6,596 M2</t>
  </si>
  <si>
    <t>36,185 ML</t>
  </si>
  <si>
    <t>34,476 ML</t>
  </si>
  <si>
    <t>Colonia Paraisos del Colli</t>
  </si>
  <si>
    <t>2,856 ml</t>
  </si>
  <si>
    <t>Localidad San Juan de Ocotan</t>
  </si>
  <si>
    <t>628 M2</t>
  </si>
  <si>
    <t>Colonia Puerta del Bosque</t>
  </si>
  <si>
    <t>250 ML</t>
  </si>
  <si>
    <t>Colonia Mariano Otero</t>
  </si>
  <si>
    <t>170 ML</t>
  </si>
  <si>
    <t>Colonia California y Localidad San Juan de Ocotán</t>
  </si>
  <si>
    <t>Localidad La Venta del Astillero</t>
  </si>
  <si>
    <t>2,164 M2</t>
  </si>
  <si>
    <t>Colonia La Palmira</t>
  </si>
  <si>
    <t>5,602 M2</t>
  </si>
  <si>
    <t>Colonia El Centinela</t>
  </si>
  <si>
    <t>269 ML</t>
  </si>
  <si>
    <t>253 ML</t>
  </si>
  <si>
    <t>Colonia Indigena de Mezquitán 1ra sección</t>
  </si>
  <si>
    <t>110 ML</t>
  </si>
  <si>
    <t>3,255 M2</t>
  </si>
  <si>
    <t>4,775 M2</t>
  </si>
  <si>
    <t>Zona de La Mojonera</t>
  </si>
  <si>
    <t>4,782 M2</t>
  </si>
  <si>
    <t>2,562 M2</t>
  </si>
  <si>
    <t>9,124 ML</t>
  </si>
  <si>
    <t>860 M2</t>
  </si>
  <si>
    <t>Colonia Jardines de Santa Ana</t>
  </si>
  <si>
    <t>326 ML</t>
  </si>
  <si>
    <t>Colonia Rancho Contento</t>
  </si>
  <si>
    <t>2,023 KG</t>
  </si>
  <si>
    <t>Colonia Jardines de Los Alamos</t>
  </si>
  <si>
    <t>485 ML</t>
  </si>
  <si>
    <t>17,000 KG</t>
  </si>
  <si>
    <t>25 PZA</t>
  </si>
  <si>
    <t>1,200 ML</t>
  </si>
  <si>
    <t>Colonia Santa Maria del Pueblito</t>
  </si>
  <si>
    <t>2,400 ML</t>
  </si>
  <si>
    <t>Colonia Arcos de Zapopan</t>
  </si>
  <si>
    <t>300 M2</t>
  </si>
  <si>
    <t>Colonias Poniente y Puerta del Valle</t>
  </si>
  <si>
    <t>Colonia Seattle</t>
  </si>
  <si>
    <t>Zapopan Centro</t>
  </si>
  <si>
    <t>https://www.zapopan.gob.mx/repositorio/view/file/jcvj0b1brww4ppm2eyfa/CONVENIO_MODIFICATORIO_004_2016.pdf</t>
  </si>
  <si>
    <t>https://www.zapopan.gob.mx/repositorio/view/file/c0htrdagwdrk9k0tqtzc/CONVENIO_MODIFICATORIO_008_2016.pdf</t>
  </si>
  <si>
    <t>https://www.zapopan.gob.mx/repositorio/view/file/moaj4gkmghna9mi9kdqs/CONVENIO_MODIFICATORIO_013_2016.pdf</t>
  </si>
  <si>
    <t>https://www.zapopan.gob.mx/repositorio/view/file/d4hhjrh5uex4cgnhoecb/DOPI-MUN-RP-PAV-LP-020-2016.pdf</t>
  </si>
  <si>
    <t>https://www.zapopan.gob.mx/repositorio/view/file/dzy718ijibeoa9m8zwce/022-2016.pdf</t>
  </si>
  <si>
    <t>https://www.zapopan.gob.mx/repositorio/view/file/apgfiif5q0qzx9ddih2w/023-2016.pdf</t>
  </si>
  <si>
    <t>https://www.zapopan.gob.mx/repositorio/view/file/qbfefgs1dr5l7gp2pewa/DOPI-MUN-RP-PAV-LP-030-2016.pdf</t>
  </si>
  <si>
    <t>http://www.zapopan.gob.mx/repositorio/view/file/uwnua37cntci3ixv2lfd/CONTRATO_001_2017.pdf</t>
  </si>
  <si>
    <t>http://www.zapopan.gob.mx/repositorio/view/file/usobpnurkniyv8cd9khf/CONTRATO-178-2017.pdf</t>
  </si>
  <si>
    <t>https://www.zapopan.gob.mx/repositorio/view/file/gcfivqcqwy3ev7crha2i/217-2017.pdf</t>
  </si>
  <si>
    <t>https://www.zapopan.gob.mx/repositorio/view/file/ileenilxit7j6qbqhl3i/CONTRATO-255-2017.pdf</t>
  </si>
  <si>
    <t>https://www.zapopan.gob.mx/repositorio/view/file/fv7wqvakagdue3ewgmar/CONTRATO-258-2017.pdf</t>
  </si>
  <si>
    <t>https://www.zapopan.gob.mx/repositorio/view/file/hdngzweximwotcpxsvgt/270-2017.pdf</t>
  </si>
  <si>
    <t>https://www.zapopan.gob.mx/repositorio/view/file/bad4dlyqicftabnmwv32/285-2017.pdf</t>
  </si>
  <si>
    <t>https://www.zapopan.gob.mx/repositorio/view/file/62fxlibt88a4mpafcqtv/292-2017.pdf</t>
  </si>
  <si>
    <t>https://www.zapopan.gob.mx/repositorio/view/file/zaqn7z4by50lpnrvamyh/192_2017.pdf</t>
  </si>
  <si>
    <t>https://www.zapopan.gob.mx/repositorio/view/file/n0jure9r4k5mca48m5k4/193_2017.pdf</t>
  </si>
  <si>
    <t>https://www.zapopan.gob.mx/repositorio/view/file/ksqikkjw6u8abqk3kgl1/194_2017.pdf</t>
  </si>
  <si>
    <t>https://www.zapopan.gob.mx/repositorio/view/file/0rhcasrgfz8yrdnqvcc0/195_2017.pdf</t>
  </si>
  <si>
    <t>http://www.zapopan.gob.mx/repositorio/view/file/wx416wevpa1zrawmxik7/CONTRATO_140_2017.pdf</t>
  </si>
  <si>
    <t>http://www.zapopan.gob.mx/repositorio/view/file/voau7ziqmtq0xojcd1k3/CONTRATO_183_2017.pdf</t>
  </si>
  <si>
    <t>http://www.zapopan.gob.mx/repositorio/view/file/ruo5ukhwk7zln2s1ygkf/CONTRATO_207_2017.pdf</t>
  </si>
  <si>
    <t>http://www.zapopan.gob.mx/repositorio/view/file/ypot26emq4feo94zdc89/CONTRATO_211_2017.pdf</t>
  </si>
  <si>
    <t>http://www.zapopan.gob.mx/repositorio/view/file/qnv3rf4ac8w4yvo1r3hr/CONTRATO_253_2017.pdf</t>
  </si>
  <si>
    <t>https://www.zapopan.gob.mx/repositorio/view/file/svbyzdlrke42vep4q15u/231-2015.pdf</t>
  </si>
  <si>
    <t>https://www.zapopan.gob.mx/repositorio/view/file/ida27i9j96klkbzavynv/DOPI-MUN-R33-IE-LP-232-2015.pdf</t>
  </si>
  <si>
    <t>https://www.zapopan.gob.mx/repositorio/view/file/tnxz6oimx96ix4vqkdqd/232-2015.pdf</t>
  </si>
  <si>
    <t>Nota</t>
  </si>
  <si>
    <t>http://www.zapopan.gob.mx/wp-content/uploads/2017/06/DOPI_005_2016.pdf</t>
  </si>
  <si>
    <t>http://www.zapopan.gob.mx/wp-content/uploads/2017/05/Contrato_007_2016.pdf</t>
  </si>
  <si>
    <t>http://www.zapopan.gob.mx/wp-content/uploads/2017/06/DOPI_012_2016.pdf</t>
  </si>
  <si>
    <t>http://www.zapopan.gob.mx/wp-content/uploads/2017/05/Contrato_019_2016.pdf</t>
  </si>
  <si>
    <t>http://www.zapopan.gob.mx/wp-content/uploads/2017/05/Contrato_024_2016.pdf</t>
  </si>
  <si>
    <t>http://www.zapopan.gob.mx/wp-content/uploads/2017/05/Contrato_035_2016.pdf</t>
  </si>
  <si>
    <t>http://www.zapopan.gob.mx/wp-content/uploads/2017/05/Contrato_033_2016.pdf</t>
  </si>
  <si>
    <t>http://www.zapopan.gob.mx/wp-content/uploads/2017/05/Contrato_064_2016.pdf</t>
  </si>
  <si>
    <t>http://www.zapopan.gob.mx/wp-content/uploads/2017/06/DOPI_105_2016.pdf</t>
  </si>
  <si>
    <t>http://www.zapopan.gob.mx/wp-content/uploads/2017/05/Contrato_108_2016.pdf</t>
  </si>
  <si>
    <t>http://www.zapopan.gob.mx/wp-content/uploads/2017/09/076-17.pdf</t>
  </si>
  <si>
    <t>http://www.zapopan.gob.mx/wp-content/uploads/2017/09/001_16.pdf</t>
  </si>
  <si>
    <t>http://www.zapopan.gob.mx/wp-content/uploads/2017/09/03_16.pdf</t>
  </si>
  <si>
    <t>http://www.zapopan.gob.mx/wp-content/uploads/2017/09/006_16.pdf</t>
  </si>
  <si>
    <t>http://www.zapopan.gob.mx/wp-content/uploads/2017/09/10_16.pdf</t>
  </si>
  <si>
    <t>http://www.zapopan.gob.mx/wp-content/uploads/2017/09/11_16.pdf</t>
  </si>
  <si>
    <t>https://www.zapopan.gob.mx/wp-content/uploads/2017/05/Contrato_013_2016.pdf</t>
  </si>
  <si>
    <t>http://www.zapopan.gob.mx/wp-content/uploads/2017/01/015_16.pdf</t>
  </si>
  <si>
    <t>https://www.zapopan.gob.mx/wp-content/uploads/2017/05/Contrato_020_2016.pdf</t>
  </si>
  <si>
    <t>http://www.zapopan.gob.mx/wp-content/uploads/2017/01/021_16.pdf</t>
  </si>
  <si>
    <t>http://www.zapopan.gob.mx/wp-content/uploads/2017/05/Contrato_022_2016.pdf</t>
  </si>
  <si>
    <t>http://www.zapopan.gob.mx/wp-content/uploads/2017/02/DOPI_MUN_RP_PAV_LP_023_16.pdf</t>
  </si>
  <si>
    <t>http://www.zapopan.gob.mx/wp-content/uploads/2017/02/DOPI_MUN_RP_PAV_LP_025_16.pdf</t>
  </si>
  <si>
    <t>http://www.zapopan.gob.mx/wp-content/uploads/2017/02/DOPI_MUN_RP_PAV_LP_026_16.pdf</t>
  </si>
  <si>
    <t>http://www.zapopan.gob.mx/wp-content/uploads/2017/09/029_16.pdf</t>
  </si>
  <si>
    <t>http://www.zapopan.gob.mx/wp-content/uploads/2017/05/Contrato_030_2016.pdf</t>
  </si>
  <si>
    <t>http://www.zapopan.gob.mx/wp-content/uploads/2017/02/DOPI_MUN_RP_OC_AD_034_16.pdf</t>
  </si>
  <si>
    <t>http://www.zapopan.gob.mx/wp-content/uploads/2017/09/47_16.pdf</t>
  </si>
  <si>
    <t>http://www.zapopan.gob.mx/wp-content/uploads/2017/09/59_16.pdf</t>
  </si>
  <si>
    <t>http://www.zapopan.gob.mx/wp-content/uploads/2017/09/60_16.pdf</t>
  </si>
  <si>
    <t>http://www.zapopan.gob.mx/wp-content/uploads/2017/09/68_16.pdf</t>
  </si>
  <si>
    <t>http://www.zapopan.gob.mx/wp-content/uploads/2017/09/072_16.pdf</t>
  </si>
  <si>
    <t>http://www.zapopan.gob.mx/wp-content/uploads/2017/09/074-16.pdf</t>
  </si>
  <si>
    <t>http://www.zapopan.gob.mx/wp-content/uploads/2017/09/75_16.pdf</t>
  </si>
  <si>
    <t>http://www.zapopan.gob.mx/wp-content/uploads/2017/09/77-16.pdf</t>
  </si>
  <si>
    <t>http://www.zapopan.gob.mx/wp-content/uploads/2017/09/078-16.pdf</t>
  </si>
  <si>
    <t>http://www.zapopan.gob.mx/wp-content/uploads/2017/09/79-16.pdf</t>
  </si>
  <si>
    <t>http://www.zapopan.gob.mx/wp-content/uploads/2017/09/080-16.pdf</t>
  </si>
  <si>
    <t>http://www.zapopan.gob.mx/wp-content/uploads/2017/09/081_16.pdf</t>
  </si>
  <si>
    <t>http://www.zapopan.gob.mx/wp-content/uploads/2017/09/082-16.pdf</t>
  </si>
  <si>
    <t>http://www.zapopan.gob.mx/wp-content/uploads/2017/09/110_16.pdf</t>
  </si>
  <si>
    <t>http://www.zapopan.gob.mx/wp-content/uploads/2017/09/111_16.pdf</t>
  </si>
  <si>
    <t>http://www.zapopan.gob.mx/wp-content/uploads/2017/09/131_16.pdf</t>
  </si>
  <si>
    <t>http://www.zapopan.gob.mx/wp-content/uploads/2017/09/139-16.pdf</t>
  </si>
  <si>
    <t>http://www.zapopan.gob.mx/wp-content/uploads/2017/09/151_16.pdf</t>
  </si>
  <si>
    <t>http://www.zapopan.gob.mx/wp-content/uploads/2017/09/154-16.pdf</t>
  </si>
  <si>
    <t>http://www.zapopan.gob.mx/wp-content/uploads/2017/09/171-16.pdf</t>
  </si>
  <si>
    <t>http://www.zapopan.gob.mx/wp-content/uploads/2017/09/181-16.pdf</t>
  </si>
  <si>
    <t>http://www.zapopan.gob.mx/wp-content/uploads/2017/09/182-16.pdf</t>
  </si>
  <si>
    <t>http://www.zapopan.gob.mx/wp-content/uploads/2017/09/185-16.pdf</t>
  </si>
  <si>
    <t>http://www.zapopan.gob.mx/wp-content/uploads/2017/09/187-16.pdf</t>
  </si>
  <si>
    <t>http://www.zapopan.gob.mx/wp-content/uploads/2017/09/212-16.pdf</t>
  </si>
  <si>
    <t>http://www.zapopan.gob.mx/wp-content/uploads/2017/09/218-16.pdf</t>
  </si>
  <si>
    <t>http://www.zapopan.gob.mx/wp-content/uploads/2017/09/220-16.pdf</t>
  </si>
  <si>
    <t>http://www.zapopan.gob.mx/wp-content/uploads/2017/09/223-16.pdf</t>
  </si>
  <si>
    <t>http://www.zapopan.gob.mx/wp-content/uploads/2017/09/225-16.pdf</t>
  </si>
  <si>
    <t>http://www.zapopan.gob.mx/wp-content/uploads/2017/09/237-16.pdf</t>
  </si>
  <si>
    <t>http://www.zapopan.gob.mx/wp-content/uploads/2017/09/243-16.pdf</t>
  </si>
  <si>
    <t>http://www.zapopan.gob.mx/wp-content/uploads/2017/09/245-16.pdf</t>
  </si>
  <si>
    <t>http://www.zapopan.gob.mx/wp-content/uploads/2017/09/248-16.pdf</t>
  </si>
  <si>
    <t>http://www.zapopan.gob.mx/wp-content/uploads/2017/09/274-16.pdf</t>
  </si>
  <si>
    <t>Orden</t>
  </si>
  <si>
    <t>https://www.zapopan.gob.mx/repositorio/view/file/sasi2xa4pg38irggmi1c/038-2016.pdf</t>
  </si>
  <si>
    <t>https://www.zapopan.gob.mx/repositorio/view/file/xulowotvbfhupqrvrh4j/050-2016.pdf</t>
  </si>
  <si>
    <t>https://www.zapopan.gob.mx/repositorio/view/file/8rt4dfqb5nxdqthndsmn/062-2016.pdf</t>
  </si>
  <si>
    <t>https://www.zapopan.gob.mx/repositorio/view/file/9brzyr2erzlh4odyfr9e/063-2016.pdf</t>
  </si>
  <si>
    <t>https://www.zapopan.gob.mx/repositorio/view/file/bjohf0kgryiajv7ydj1q/076-2016.pdf</t>
  </si>
  <si>
    <t>https://www.zapopan.gob.mx/repositorio/view/file/4jx9fnzswguc1ikxeekz/083-2016.pdf</t>
  </si>
  <si>
    <t>https://www.zapopan.gob.mx/repositorio/view/file/exnlff9axnrut6hxzihi/085-2016.pdf</t>
  </si>
  <si>
    <t>https://www.zapopan.gob.mx/repositorio/view/file/ym14k2spmrhe3ur01u9k/086-2016.pdf</t>
  </si>
  <si>
    <t>https://www.zapopan.gob.mx/repositorio/view/file/zoa1fpf9rcimyxyhvjpr/087-2016.pdf</t>
  </si>
  <si>
    <t>https://www.zapopan.gob.mx/repositorio/view/file/3jofzynnugksyaci7i7p/088-2016.pdf</t>
  </si>
  <si>
    <t>https://www.zapopan.gob.mx/repositorio/view/file/iun46eusulxraf6hp4v1/090-2016.pdf</t>
  </si>
  <si>
    <t>https://www.zapopan.gob.mx/repositorio/view/file/qyelektu3i0fnztoole8/091-2016.pdf</t>
  </si>
  <si>
    <t>https://www.zapopan.gob.mx/repositorio/view/file/gsdj5oslpgfzaqx9vtat/093-2016.pdf</t>
  </si>
  <si>
    <t>https://www.zapopan.gob.mx/repositorio/view/file/mpmayq149o07tbr6rhla/094-2016.pdf</t>
  </si>
  <si>
    <t>https://www.zapopan.gob.mx/repositorio/view/file/0cxqzc9h0dvkmd4sl0w4/096-2016.pdf</t>
  </si>
  <si>
    <t>https://www.zapopan.gob.mx/repositorio/view/file/gmx0jli54dbolmwkhg0x/097-2016.pdf</t>
  </si>
  <si>
    <t>https://www.zapopan.gob.mx/repositorio/view/file/yovhrqctvdkebratxlq9/099-2016.pdf</t>
  </si>
  <si>
    <t>https://www.zapopan.gob.mx/repositorio/view/file/hi9kqrns62jmlj83tfxr/100-2016.pdf</t>
  </si>
  <si>
    <t>https://www.zapopan.gob.mx/repositorio/view/file/qj9xjm5tx5bnkbubiesq/104-2016.pdf</t>
  </si>
  <si>
    <t>https://www.zapopan.gob.mx/repositorio/view/file/ylf2f2qrui6zwltejrze/109-2016.pdf</t>
  </si>
  <si>
    <t>https://www.zapopan.gob.mx/repositorio/view/file/gwgq3gwrp4cfupwpf8l9/113-2016.pdf</t>
  </si>
  <si>
    <t>https://www.zapopan.gob.mx/repositorio/view/file/a0zocqieu8rwlsi7b2zo/114-2016.pdf</t>
  </si>
  <si>
    <t>https://www.zapopan.gob.mx/repositorio/view/file/bi4nb4gzhkpoh9qa9bqi/118-2016.pdf</t>
  </si>
  <si>
    <t>https://www.zapopan.gob.mx/repositorio/view/file/otmumdd7oqbkzqrzjkz1/120-2016.pdf</t>
  </si>
  <si>
    <t>https://www.zapopan.gob.mx/repositorio/view/file/ctt1aaglk3f6xoqjb1d7/123-2016.pdf</t>
  </si>
  <si>
    <t>https://www.zapopan.gob.mx/repositorio/view/file/tqpcoem77mdnefmg3kde/125-2016.pdf</t>
  </si>
  <si>
    <t>https://www.zapopan.gob.mx/repositorio/view/file/ciqcgpxexva5w2f3o1pg/126-2016.pdf</t>
  </si>
  <si>
    <t>https://www.zapopan.gob.mx/repositorio/view/file/4hg4oneoi99d72b62eas/136-2016.pdf</t>
  </si>
  <si>
    <t>https://www.zapopan.gob.mx/repositorio/view/file/t3f63hnopc9y3olhk7hq/138-2016.pdf</t>
  </si>
  <si>
    <t>https://www.zapopan.gob.mx/repositorio/view/file/kig02awdm9hyq3ox47dx/146-2016.pdf</t>
  </si>
  <si>
    <t>https://www.zapopan.gob.mx/repositorio/view/file/eweycg3xqxqvbg4awinv/147-2016.pdf</t>
  </si>
  <si>
    <t>https://www.zapopan.gob.mx/repositorio/view/file/09ilkevkdcobrfzsxomu/148-2016.pdf</t>
  </si>
  <si>
    <t>https://www.zapopan.gob.mx/repositorio/view/file/lc1wweh1rg8uyqm58cxz/149-2016.pdf</t>
  </si>
  <si>
    <t>https://www.zapopan.gob.mx/repositorio/view/file/og0jldibtbr4ynzsf0vr/155-2016.pdf</t>
  </si>
  <si>
    <t>https://www.zapopan.gob.mx/repositorio/view/file/j7znfp959xb1it2ci9nh/156-2016.pdf</t>
  </si>
  <si>
    <t>https://www.zapopan.gob.mx/repositorio/view/file/zw1yecqkvkotkuus5vu2/159-2016.pdf</t>
  </si>
  <si>
    <t>https://www.zapopan.gob.mx/repositorio/view/file/jtgknoklljdnumlm1bfx/162-2016.pdf</t>
  </si>
  <si>
    <t>https://www.zapopan.gob.mx/repositorio/view/file/ismoxqh1xchsgbkqa0tp/164-2016.pdf</t>
  </si>
  <si>
    <t>https://www.zapopan.gob.mx/repositorio/view/file/inpiuc4lamyxt4jpunbh/168-2016.pdf</t>
  </si>
  <si>
    <t>https://www.zapopan.gob.mx/repositorio/view/file/2rxyogyffdy3aeev8pv5/170-2016.pdf</t>
  </si>
  <si>
    <t>https://www.zapopan.gob.mx/repositorio/view/file/fop1lleg8bkbahqdcisx/206-2016.pdf</t>
  </si>
  <si>
    <t>https://www.zapopan.gob.mx/repositorio/view/file/21oyztxkvq5km6yiwrgk/208-2016.pdf</t>
  </si>
  <si>
    <t>https://www.zapopan.gob.mx/repositorio/view/file/duywrwty1ba7gwhhbnks/209-2016.pdf</t>
  </si>
  <si>
    <t>https://www.zapopan.gob.mx/repositorio/view/file/8rxxh5qxhjq54gqqpfti/210-2016.pdf</t>
  </si>
  <si>
    <t>https://www.zapopan.gob.mx/repositorio/view/file/jchdgwnqqtyzyu7bablq/213-2016.pdf</t>
  </si>
  <si>
    <t>https://www.zapopan.gob.mx/repositorio/view/file/x3l2kingira9mo366n1z/215-2016.pdf</t>
  </si>
  <si>
    <t>https://www.zapopan.gob.mx/repositorio/view/file/pdm4isnh9ybimfs5ccig/219-2016.pdf</t>
  </si>
  <si>
    <t>https://www.zapopan.gob.mx/repositorio/view/file/cc8etkdaey3hq5lkdrp0/221-2016.pdf</t>
  </si>
  <si>
    <t>https://www.zapopan.gob.mx/repositorio/view/file/kmpqqt1n71xhbvco7kre/226-2016.pdf</t>
  </si>
  <si>
    <t>https://www.zapopan.gob.mx/repositorio/view/file/eijowcrd0rr8jjddo9vg/228-2016.pdf</t>
  </si>
  <si>
    <t>https://www.zapopan.gob.mx/repositorio/view/file/8hgkcwvmyqymuneiqugs/229-2016.pdf</t>
  </si>
  <si>
    <t>https://www.zapopan.gob.mx/repositorio/view/file/qfrmvravtyyb60fek9fz/230-2016.pdf</t>
  </si>
  <si>
    <t>https://www.zapopan.gob.mx/repositorio/view/file/dceabvtfidihbqcmbkb0/231-2016.pdf</t>
  </si>
  <si>
    <t>https://www.zapopan.gob.mx/repositorio/view/file/vccej5o1m0cr77l2xvej/232-2016.pdf</t>
  </si>
  <si>
    <t>https://www.zapopan.gob.mx/repositorio/view/file/wdnywawmwowggjmfdkem/236-2016.pdf</t>
  </si>
  <si>
    <t>https://www.zapopan.gob.mx/repositorio/view/file/ymcqkyqvlrtgyamc4nnh/240-2016.pdf</t>
  </si>
  <si>
    <t>https://www.zapopan.gob.mx/repositorio/view/file/rgiywqk1emew15bzb8hk/241-2016.pdf</t>
  </si>
  <si>
    <t>https://www.zapopan.gob.mx/repositorio/view/file/7ublbz5ucapvrfrfjl6l/244-2016.pdf</t>
  </si>
  <si>
    <t>https://www.zapopan.gob.mx/repositorio/view/file/qcjqhlffttvvjiu9w3c5/249-2016.pdf</t>
  </si>
  <si>
    <t>https://www.zapopan.gob.mx/repositorio/view/file/m0pwpgo6v1mvvjyd2ifi/251-2016.pdf</t>
  </si>
  <si>
    <t>https://www.zapopan.gob.mx/repositorio/view/file/wofqkfn6nirlyf2bgv9s/252-2016.pdf</t>
  </si>
  <si>
    <t>https://www.zapopan.gob.mx/repositorio/view/file/qmjnukwddzuw4t6frrxv/253-2016.pdf</t>
  </si>
  <si>
    <t>https://www.zapopan.gob.mx/repositorio/view/file/tnxvkei7ov1lucrltjkt/254-2016.pdf</t>
  </si>
  <si>
    <t>https://www.zapopan.gob.mx/repositorio/view/file/kg1jw8ptzedetqziexjm/255-2016.pdf</t>
  </si>
  <si>
    <t>https://www.zapopan.gob.mx/repositorio/view/file/vno5yb09fdwm7gmkekay/256-2016.pdf</t>
  </si>
  <si>
    <t>https://www.zapopan.gob.mx/repositorio/view/file/mx6bw4p8wow5hmci6ezs/257-2016.pdf</t>
  </si>
  <si>
    <t>https://www.zapopan.gob.mx/repositorio/view/file/zuuyhmf8ytkpgtb3p8ff/258-2016.pdf</t>
  </si>
  <si>
    <t>https://www.zapopan.gob.mx/repositorio/view/file/xtegjocqkriijenbohrq/259-2016.pdf</t>
  </si>
  <si>
    <t>https://www.zapopan.gob.mx/repositorio/view/file/zyjjwy0x7fjireyu9ryk/260-2016.pdf</t>
  </si>
  <si>
    <t>https://www.zapopan.gob.mx/repositorio/view/file/vbxzifk53ha0sphygvfl/261-2016.pdf</t>
  </si>
  <si>
    <t>https://www.zapopan.gob.mx/repositorio/view/file/bdnj8gch88wtitc9wkny/262-2016.pdf</t>
  </si>
  <si>
    <t>https://www.zapopan.gob.mx/repositorio/view/file/2dxhih6knbkftspi1c5h/263-2016.pdf</t>
  </si>
  <si>
    <t>https://www.zapopan.gob.mx/repositorio/view/file/bqqjglqljxs5cnslywxl/264-2016.pdf</t>
  </si>
  <si>
    <t>https://www.zapopan.gob.mx/repositorio/view/file/r71zmrbuhpzy4jwluhan/266-2016.pdf</t>
  </si>
  <si>
    <t>https://www.zapopan.gob.mx/repositorio/view/file/0rwr9jfm6wrfz0jnr91n/267-2016.pdf</t>
  </si>
  <si>
    <t>https://www.zapopan.gob.mx/repositorio/view/file/vwgbofuycaxut3zmh0v1/268-2016.pdf</t>
  </si>
  <si>
    <t>https://www.zapopan.gob.mx/repositorio/view/file/prbpuodnm0tnhuqawhhr/272-2016.pdf</t>
  </si>
  <si>
    <t>https://www.zapopan.gob.mx/repositorio/view/file/gcdmmlgvfar3933kvawv/275-2016.pdf</t>
  </si>
  <si>
    <t>https://www.zapopan.gob.mx/repositorio/view/file/o5hjwxmfcnqrvikeebdm/278-2016.pdf</t>
  </si>
  <si>
    <t>https://www.zapopan.gob.mx/repositorio/view/file/pryoo2kc134p8mzcxhiy/281-2016.pdf</t>
  </si>
  <si>
    <t>https://www.zapopan.gob.mx/repositorio/view/file/bchn8my7ltbhopt2zpjq/282-2016.pdf</t>
  </si>
  <si>
    <t>https://www.zapopan.gob.mx/repositorio/view/file/wikyazbzcumtvmubpcns/283-2016.pdf</t>
  </si>
  <si>
    <t>https://www.zapopan.gob.mx/repositorio/view/file/61jdtefk3htmlki5wsup/004-2016.pdf</t>
  </si>
  <si>
    <t>https://www.zapopan.gob.mx/repositorio/view/file/2elwjkn4436qaszmrwvx/014-2016.pdf</t>
  </si>
  <si>
    <t>https://www.zapopan.gob.mx/repositorio/view/file/lrajrvlmsjvk04dicitt/032-2016.pdf</t>
  </si>
  <si>
    <t>https://www.zapopan.gob.mx/repositorio/view/file/gm4wb22ti4ap7bm1vfqd/053-2016.pdf</t>
  </si>
  <si>
    <t>https://www.zapopan.gob.mx/repositorio/view/file/n5ixfeb4w60hrsgnseaw/066-2016.pdf</t>
  </si>
  <si>
    <t>https://www.zapopan.gob.mx/repositorio/view/file/h3ee3gqgsl8rapfw1xdm/071-2016.pdf</t>
  </si>
  <si>
    <t>https://www.zapopan.gob.mx/repositorio/view/file/iqjxd42rczzc3ykgioxb/115-2016.pdf</t>
  </si>
  <si>
    <t>https://www.zapopan.gob.mx/repositorio/view/file/hiyypccahz0hkroace6v/116-2016.pdf</t>
  </si>
  <si>
    <t>https://www.zapopan.gob.mx/repositorio/view/file/tj73dihqupj7pq1ze9tl/117-2016.pdf</t>
  </si>
  <si>
    <t>https://www.zapopan.gob.mx/repositorio/view/file/x4rqz0qu1lj1vhhj4o13/124-2016.pdf</t>
  </si>
  <si>
    <t>https://www.zapopan.gob.mx/repositorio/view/file/guudnthl2jgo0xsiweb2/128-2016.pdf</t>
  </si>
  <si>
    <t>https://www.zapopan.gob.mx/repositorio/view/file/nxrnpwu1fp0ru5hpik84/145-2016.pdf</t>
  </si>
  <si>
    <t>https://www.zapopan.gob.mx/repositorio/view/file/wuzkgajndnhybaacuiti/150-2016.pdf</t>
  </si>
  <si>
    <t>https://www.zapopan.gob.mx/repositorio/view/file/14imx0wmyrstappinjo8/157-2016.pdf</t>
  </si>
  <si>
    <t>https://www.zapopan.gob.mx/repositorio/view/file/w8cirbwef00fnefxzob2/167-2016.pdf</t>
  </si>
  <si>
    <t>https://www.zapopan.gob.mx/repositorio/view/file/gbic074llmgf17jvlxcl/169-2016.pdf</t>
  </si>
  <si>
    <t>https://www.zapopan.gob.mx/repositorio/view/file/di6bzezgmg91va87eivl/194-2016.pdf</t>
  </si>
  <si>
    <t>https://www.zapopan.gob.mx/repositorio/view/file/flvjdtq7tf9dccik3hsn/200-2016.pdf</t>
  </si>
  <si>
    <t>https://www.zapopan.gob.mx/repositorio/view/file/6sgvyj4r4cipirquzcwe/201-2016.pdf</t>
  </si>
  <si>
    <t>https://www.zapopan.gob.mx/repositorio/view/file/gikyyzyhgvrg9nkxuoh2/203-2016.pdf</t>
  </si>
  <si>
    <t>https://www.zapopan.gob.mx/repositorio/view/file/hfwvviinxg0nxl99h3rb/204-2016.pdf</t>
  </si>
  <si>
    <t>https://www.zapopan.gob.mx/repositorio/view/file/sm42srvyhk9oabznau1n/205-2016.pdf</t>
  </si>
  <si>
    <t>https://www.zapopan.gob.mx/repositorio/view/file/hx6jjzyrpo4esqq28ydx/207-2016.pdf</t>
  </si>
  <si>
    <t>https://www.zapopan.gob.mx/repositorio/view/file/ll13reskftuurxjtwfe9/211-2016.pdf</t>
  </si>
  <si>
    <t>https://www.zapopan.gob.mx/repositorio/view/file/lxnt6ckcsnf9gflulrsp/214-2016.pdf</t>
  </si>
  <si>
    <t>https://www.zapopan.gob.mx/repositorio/view/file/zfro43z9ybvmrecnuw3h/216-2016.pdf</t>
  </si>
  <si>
    <t>https://www.zapopan.gob.mx/repositorio/view/file/5klqirddlczpqp2z44ta/217-2016.pdf</t>
  </si>
  <si>
    <t>https://www.zapopan.gob.mx/repositorio/view/file/wvrokgx0bo6ajo8x8cqy/233-2016.pdf</t>
  </si>
  <si>
    <t>https://www.zapopan.gob.mx/repositorio/view/file/jbbfiz21cz4l313531of/234-2016.pdf</t>
  </si>
  <si>
    <t>https://www.zapopan.gob.mx/repositorio/view/file/3dtct7wlvtmigwrzaexj/235-2016.pdf</t>
  </si>
  <si>
    <t>https://www.zapopan.gob.mx/repositorio/view/file/tzdll1kqd2d7zbtj2h5h/238-2016.pdf</t>
  </si>
  <si>
    <t>https://www.zapopan.gob.mx/repositorio/view/file/yigkb1flb9cthrslras0/246-2016.pdf</t>
  </si>
  <si>
    <t>https://www.zapopan.gob.mx/repositorio/view/file/lyylyt6czqdelwrc7n8c/269-2016.pdf</t>
  </si>
  <si>
    <t>https://www.zapopan.gob.mx/repositorio/view/file/yne0m192fafmrqmw58vc/279-2016.pdf</t>
  </si>
  <si>
    <t>https://www.zapopan.gob.mx/repositorio/view/file/upw3a2hdefjg3lutr3pz/280-2016.pdf</t>
  </si>
  <si>
    <t>https://www.zapopan.gob.mx/repositorio/view/file/1hetd3g35tdaukuqjunv/009-2017.pdf</t>
  </si>
  <si>
    <t>https://www.zapopan.gob.mx/repositorio/view/file/2wjpmar43rljl8v6copr/021-2017.pdf</t>
  </si>
  <si>
    <t>https://www.zapopan.gob.mx/repositorio/view/file/rv9r2nvgfnqce1wdky7f/032-2017.pdf</t>
  </si>
  <si>
    <t>https://www.zapopan.gob.mx/repositorio/view/file/ktbni1rgdbutebjh5owj/052-2017.pdf</t>
  </si>
  <si>
    <t>https://www.zapopan.gob.mx/repositorio/view/file/ko97kelyftpurqfc1kza/056-2017.pdf</t>
  </si>
  <si>
    <t>https://www.zapopan.gob.mx/repositorio/view/file/t8k1n0a9dyicygcun8at/057-2017.pdf</t>
  </si>
  <si>
    <t>https://www.zapopan.gob.mx/repositorio/view/file/gxwt5t7ii9mnqg2tovpm/059-2017.pdf</t>
  </si>
  <si>
    <t>https://www.zapopan.gob.mx/repositorio/view/file/pvrc2t0bghfolc2kan7x/061-2017.pdf</t>
  </si>
  <si>
    <t>https://www.zapopan.gob.mx/repositorio/view/file/rlqrg1xwlgf4pcjvcucx/062-2017.pdf</t>
  </si>
  <si>
    <t>https://www.zapopan.gob.mx/repositorio/view/file/upra37zfll62um9u1xwt/068-2017.pdf</t>
  </si>
  <si>
    <t>https://www.zapopan.gob.mx/repositorio/view/file/ekycey5ri3tfraqkp2yx/069-2017.pdf</t>
  </si>
  <si>
    <t>https://www.zapopan.gob.mx/repositorio/view/file/4ba6hjkmviwloexzge27/070-2017.pdf</t>
  </si>
  <si>
    <t>https://www.zapopan.gob.mx/repositorio/view/file/pn41xuohfpqxwstdhli8/071-2017.pdf</t>
  </si>
  <si>
    <t>https://www.zapopan.gob.mx/repositorio/view/file/ffmxb3aowmotrmhnzo6p/075-2017.pdf</t>
  </si>
  <si>
    <t>https://www.zapopan.gob.mx/repositorio/view/file/fluxrnwvo7ztkfmihcg4/094-2017.pdf</t>
  </si>
  <si>
    <t>https://www.zapopan.gob.mx/repositorio/view/file/azmuuavi1xvwf81lkrrz/119-2017.pdf</t>
  </si>
  <si>
    <t>https://www.zapopan.gob.mx/repositorio/view/file/bybkuyaqwtf7ymu9nfsv/121-2017.pdf</t>
  </si>
  <si>
    <t>https://www.zapopan.gob.mx/repositorio/view/file/atvugwquk1pdtwa5l3v0/125-2017.pdf</t>
  </si>
  <si>
    <t>https://www.zapopan.gob.mx/repositorio/view/file/cudq69vxexxoqidqntfl/126-2017.pdf</t>
  </si>
  <si>
    <t>https://www.zapopan.gob.mx/repositorio/view/file/y8mxqkaanzjjwzvrx6xs/128-2017.pdf</t>
  </si>
  <si>
    <t>https://www.zapopan.gob.mx/repositorio/view/file/zt7nj4tagjbtwxbmnruo/129-2017.pdf</t>
  </si>
  <si>
    <t>https://www.zapopan.gob.mx/repositorio/view/file/motzbmjrgwnduw0ckgxs/131-2017.pdf</t>
  </si>
  <si>
    <t>https://www.zapopan.gob.mx/repositorio/view/file/ksnwnsecywz028bqf3nv/132-2017.pdf</t>
  </si>
  <si>
    <t>https://www.zapopan.gob.mx/repositorio/view/file/lbeb1un6ynhtzjkwapim/133-2017.pdf</t>
  </si>
  <si>
    <t>https://www.zapopan.gob.mx/repositorio/view/file/yb2um90sttsxcvkirl3p/134-2017.pdf</t>
  </si>
  <si>
    <t>https://www.zapopan.gob.mx/repositorio/view/file/rbssbswjrpbydplent3w/136-2017.pdf</t>
  </si>
  <si>
    <t>https://www.zapopan.gob.mx/repositorio/view/file/jmobleizpxib9pmforgi/139-2017.pdf</t>
  </si>
  <si>
    <t>https://www.zapopan.gob.mx/repositorio/view/file/wie6movywbi9fgh0pqsq/141-2017.pdf</t>
  </si>
  <si>
    <t>https://www.zapopan.gob.mx/repositorio/view/file/rpcmnryy6pr2ro4nbxgr/142-2017.pdf</t>
  </si>
  <si>
    <t>https://www.zapopan.gob.mx/repositorio/view/file/no45fu9sxfswddotwpqs/143-2017.pdf</t>
  </si>
  <si>
    <t>https://www.zapopan.gob.mx/repositorio/view/file/fb21xia0klpfktybehwa/180-2017.pdf</t>
  </si>
  <si>
    <t>https://www.zapopan.gob.mx/repositorio/view/file/8r3rwefpsk9hnpxxn8sp/182-2017.pdf</t>
  </si>
  <si>
    <t>https://www.zapopan.gob.mx/repositorio/view/file/yv2arnfkwu8cbfdofuec/205-2017.pdf</t>
  </si>
  <si>
    <t>https://www.zapopan.gob.mx/repositorio/view/file/6gmltvk7pm0nbu22gny3/206-2017.pdf</t>
  </si>
  <si>
    <t>https://www.zapopan.gob.mx/repositorio/view/file/e13un5vsakomznbkqt3i/208-2017.pdf</t>
  </si>
  <si>
    <t>https://www.zapopan.gob.mx/repositorio/view/file/t6ex7npqzkhylz7ohaja/209-2017.pdf</t>
  </si>
  <si>
    <t>https://www.zapopan.gob.mx/repositorio/view/file/s7qjsuqsduencwxifrse/213-2017.pdf</t>
  </si>
  <si>
    <t>https://www.zapopan.gob.mx/repositorio/view/file/uzyp0tjkgy1vvkxhaad4/214-2017.pdf</t>
  </si>
  <si>
    <t>https://www.zapopan.gob.mx/repositorio/view/file/jhakpeuxzc9lcidtbyvz/215-2017.pdf</t>
  </si>
  <si>
    <t>https://www.zapopan.gob.mx/repositorio/view/file/dagnbbvq4lnnwr1q1ig4/229-2017.pdf</t>
  </si>
  <si>
    <t>https://www.zapopan.gob.mx/repositorio/view/file/w8jtmme1xl62di0cdsfr/230-2017.pdf</t>
  </si>
  <si>
    <t>https://www.zapopan.gob.mx/repositorio/view/file/t3psxbcmyjzupklqgghl/231-2017.pdf</t>
  </si>
  <si>
    <t>https://www.zapopan.gob.mx/repositorio/view/file/vtfjfh8xc2wmtvt2iwsz/232-2017.pdf</t>
  </si>
  <si>
    <t>https://www.zapopan.gob.mx/repositorio/view/file/8k7jx78bscjh694l3zbu/240-2017.pdf</t>
  </si>
  <si>
    <t>https://www.zapopan.gob.mx/repositorio/view/file/i3gc6qrg91o43kqqvz3v/241-2017.pdf</t>
  </si>
  <si>
    <t>https://www.zapopan.gob.mx/repositorio/view/file/pz1ztxuxg3az4s0dlv87/246-2017.pdf</t>
  </si>
  <si>
    <t>https://www.zapopan.gob.mx/repositorio/view/file/opaokminvwcbxrdzsr3m/248-2017.pdf</t>
  </si>
  <si>
    <t>https://www.zapopan.gob.mx/repositorio/view/file/e6knlps9anmfyhltfatm/277-2017.pdf</t>
  </si>
  <si>
    <t>https://www.zapopan.gob.mx/repositorio/view/file/kewaf0hvematz22ksymy/280-2017.pdf</t>
  </si>
  <si>
    <t>https://www.zapopan.gob.mx/repositorio/view/file/k21uc8h6xixcf7p62ydg/281-2017.pdf</t>
  </si>
  <si>
    <t>https://www.zapopan.gob.mx/repositorio/view/file/x6c6uakulfkwvlyhm5vu/323-2017.pdf</t>
  </si>
  <si>
    <t>https://www.zapopan.gob.mx/repositorio/view/file/cbuag8vktlceinvsph2x/324-2017.pdf</t>
  </si>
  <si>
    <t>https://www.zapopan.gob.mx/repositorio/view/file/y4lvwr11hqq3400srwkl/325-2017.pdf</t>
  </si>
  <si>
    <t>https://www.zapopan.gob.mx/repositorio/view/file/tlskszzuog2vztq3fnpw/329-2017.pdf</t>
  </si>
  <si>
    <t>https://www.zapopan.gob.mx/repositorio/view/file/w0lykdctljn0sx14kvxj/332-2017.pdf</t>
  </si>
  <si>
    <t>https://www.zapopan.gob.mx/repositorio/view/file/9vwabiysabm1bodaoqyo/334-2017.pdf</t>
  </si>
  <si>
    <t>https://www.zapopan.gob.mx/repositorio/view/file/cldztdsg0bu6q4vsxldn/335-2017.pdf</t>
  </si>
  <si>
    <t>https://www.zapopan.gob.mx/repositorio/view/file/u2pwdmnsticeq7a7fpqa/338-2017.pdf</t>
  </si>
  <si>
    <t>https://www.zapopan.gob.mx/repositorio/view/file/9wpg5yxigycmoqbevoqn/339_2017.pdf</t>
  </si>
  <si>
    <t>https://www.zapopan.gob.mx/repositorio/view/file/nnm1tgtkcgdz9fdbmvsu/377-2017.pdf</t>
  </si>
  <si>
    <t>https://www.zapopan.gob.mx/repositorio/view/file/xxpoghnsktd4lvg06pyp/381-2017.pdf</t>
  </si>
  <si>
    <t>DOPI-MUN-RM-AP-AD-162-2018</t>
  </si>
  <si>
    <t>Solución pluvial en Av. Valle de Tesistán, entre Camino Viejo a Tesistán y Av. Acueducto, colonia Jardines del Valle, municipio de Zapopan, Jalisco.</t>
  </si>
  <si>
    <t>Colonia Jardines Del Valle</t>
  </si>
  <si>
    <t>MARÍA CAROLINA</t>
  </si>
  <si>
    <t>SERRANO</t>
  </si>
  <si>
    <t>CONTRERAS</t>
  </si>
  <si>
    <t>ELEMENTO 83 CONSTRUCCIONES Y SERVICIOS, S.A. DE C.V.</t>
  </si>
  <si>
    <t>EOT171027QE9</t>
  </si>
  <si>
    <t>270 ML</t>
  </si>
  <si>
    <t>DOPI-MUN-RM-IM-CI-062-2018</t>
  </si>
  <si>
    <t>DOPI-MUN-RM-PROY-AD-101-2018</t>
  </si>
  <si>
    <t>DOPI-EST-CM-PAV-LP-142-2018</t>
  </si>
  <si>
    <t>DOPI-EST-CM-PAV-LP-143-2018</t>
  </si>
  <si>
    <t>DOPI-EST-CM-PAV-LP-144-2018</t>
  </si>
  <si>
    <t>DOPI-EST-CM-PAV-LP-145-2018</t>
  </si>
  <si>
    <t>DOPI-EST-CM-PAV-LP-146-2018</t>
  </si>
  <si>
    <t>DOPI-EST-CM-PAV-LP-147-2018</t>
  </si>
  <si>
    <t>DOPI-MUN-RM-ELE-AD-157-2018</t>
  </si>
  <si>
    <t>DOPI-MUN-RM-ID-CI-168-2018</t>
  </si>
  <si>
    <t>DOPI-MUN-RM-BAN-CI-169-2018</t>
  </si>
  <si>
    <t>DOPI-MUN-RM-DS-CI-170-2018</t>
  </si>
  <si>
    <t>DOPI-MUN-RM-IM-CI-171-2018</t>
  </si>
  <si>
    <t>DOPI-MUN-RM-PAV-CI-172-2018</t>
  </si>
  <si>
    <t>DOPI-MUN-RM-PAV-CI-173-2018</t>
  </si>
  <si>
    <t>DOPI-MUN-RM-PAV-CI-174-2018</t>
  </si>
  <si>
    <t>DOPI-MUN-RM-ID-CI-175-2018</t>
  </si>
  <si>
    <t>DOPI-MUN-RM-IM-CI-176-2018</t>
  </si>
  <si>
    <t>DOPI-MUN-RM-MOV-AD-177-2018</t>
  </si>
  <si>
    <t>DOPI-MUN-RM-ID-AD-178-2018</t>
  </si>
  <si>
    <t>DOPI-MUN-RM-PAV-AD-179-2018</t>
  </si>
  <si>
    <t>DOPI-MUN-RM-IH-AD-180-2018</t>
  </si>
  <si>
    <t>DOPI-MUN-RM-PAV-AD-181-2018</t>
  </si>
  <si>
    <t>DOPI-MUN-RM-ID-AD-182-2018</t>
  </si>
  <si>
    <t>DOPI-MUN-RM-ID-AD-183-2018</t>
  </si>
  <si>
    <t>DOPI-MUN-RM-ELE-AD-184-2018</t>
  </si>
  <si>
    <t>DOPI-MUN-RM-SERV-AD-185-2018</t>
  </si>
  <si>
    <t>DOPI-MUN-RM-IM-AD-186-2018</t>
  </si>
  <si>
    <t>DOPI-MUN-RM-IE-AD-187-2018</t>
  </si>
  <si>
    <t>DOPI-MUN-R33-DS-CI-188-2018</t>
  </si>
  <si>
    <t>DOPI-MUN-PP-IM-CI-189-2018</t>
  </si>
  <si>
    <t>DOPI-MUN-PP-IM-CI-190-2018</t>
  </si>
  <si>
    <t>DOPI-MUN-PP-ID-CI-191-2018</t>
  </si>
  <si>
    <t>DOPI-MUN-PP-ID-CI-192-2018</t>
  </si>
  <si>
    <t>DOPI-MUN-PP-ID-CI-193-2018</t>
  </si>
  <si>
    <t>DOPI-MUN-PP-EP-CI-194-2018</t>
  </si>
  <si>
    <t>DOPI-MUN-PP-EP-CI-195-2018</t>
  </si>
  <si>
    <t>DOPI-MUN-PP-EP-CI-196-2018</t>
  </si>
  <si>
    <t>DOPI-MUN-PP-EP-CI-197-2018</t>
  </si>
  <si>
    <t>DOPI-MUN-PP-EP-CI-198-2018</t>
  </si>
  <si>
    <t>DOPI-MUN-PP-PAV-CI-199-2018</t>
  </si>
  <si>
    <t>DOPI-MUN-PP-PAV-CI-200-2018</t>
  </si>
  <si>
    <t>DOPI-MUN-PP-PAV-CI-201-2018</t>
  </si>
  <si>
    <t>DOPI-MUN-PP-PAV-CI-202-2018</t>
  </si>
  <si>
    <t>DOPI-MUN-PP-PAV-CI-203-2018</t>
  </si>
  <si>
    <t>DOPI-MUN-PP-IM-CI-206-2018</t>
  </si>
  <si>
    <t>DOPI-MUN-RM-ELE-CI-207-2018</t>
  </si>
  <si>
    <t>DOPI-MUN-RM-PAV-AD-208-2018</t>
  </si>
  <si>
    <t>DOPI-MUN-RM-PAV-AD-209-2018</t>
  </si>
  <si>
    <t>DOPI-MUN-RM-BAN-AD-210-2018</t>
  </si>
  <si>
    <t>DOPI-MUN-R33-IH-AD-212-2018</t>
  </si>
  <si>
    <t>DOPI-MUN-R33R-IH-AD-213-2018</t>
  </si>
  <si>
    <t>DOPI-MUN-RM-IH-AD-214-2018</t>
  </si>
  <si>
    <t>DOPI-MUN-RM-BAN-AD-215-2018</t>
  </si>
  <si>
    <t>DOPI-MUN-RM-BAN-AD-217-2018</t>
  </si>
  <si>
    <t>DOPI-MUN-RM-PAV-CI-218-2018</t>
  </si>
  <si>
    <t>DOPI-MUN-RM-PAV-AD-219-2018</t>
  </si>
  <si>
    <t>DOPI-MUN-RM-ELE-AD-220-2018</t>
  </si>
  <si>
    <t>DOPI-MUN-RM-IM-AD-221-2018</t>
  </si>
  <si>
    <t>DOPI-MUN-RM-PAV-AD-222-2018</t>
  </si>
  <si>
    <t>DOPI-MUN-RM-ELE-AD-223-2018</t>
  </si>
  <si>
    <t>DOPI-MUN-RM-PAV-AD-224-2018</t>
  </si>
  <si>
    <t>DOPI-MUN-RM-IH-AD-225-2018</t>
  </si>
  <si>
    <t>DOPI-MUN-RM-IM-AD-226-2018</t>
  </si>
  <si>
    <t>DOPI-MUN-RM-IH-AD-227-2018</t>
  </si>
  <si>
    <t>DOPI-MUN-RM-PAV-AD-228-2018</t>
  </si>
  <si>
    <t>DOPI-MUN-RM-PROY-AD-229-2018</t>
  </si>
  <si>
    <t>DOPI-MUN-RM-CONT-AD-230-2018</t>
  </si>
  <si>
    <t>DOPI-MUN-RM-IM-AD-231-2018</t>
  </si>
  <si>
    <t>DOPI-MUN-RM-IU-AD-233-2018</t>
  </si>
  <si>
    <t>DOPI-MUN-RM-IM-AD-234-2018</t>
  </si>
  <si>
    <t>DOPI-EST-FOCOCI-IE-AD-235-2018</t>
  </si>
  <si>
    <t>DOPI-MUN-RM-BACHEO-AD-236-2018</t>
  </si>
  <si>
    <t>DOPI-MUN-RM-ID-AD-237-2018</t>
  </si>
  <si>
    <t>DOPI-MUN-RM-EP-AD-238-2018</t>
  </si>
  <si>
    <t>DOPI-MUN-RM-ELE-AD-239-2018</t>
  </si>
  <si>
    <t>DOPI-MUN-RM-ELE-AD-240-2018</t>
  </si>
  <si>
    <t>DOPI-MUN-RM-PAV-AD-241-2018</t>
  </si>
  <si>
    <t>DOPI-MUN-RM-CONT-AD-242-2018</t>
  </si>
  <si>
    <t>DOPI-MUN-RM-PAV-AD-243-2018</t>
  </si>
  <si>
    <t>DOPI-MUN-RM-IE-AD-244-2018</t>
  </si>
  <si>
    <t>DOPI-MUN-RM-IE-AD-245-2018</t>
  </si>
  <si>
    <t>DOPI-MUN-RM-CONT-AD-246-2018</t>
  </si>
  <si>
    <t>Construcción del Centro Artístico, Lúdico y Cultural para Adolescentes y Jóvenes “CALUC” ubicado en la colonia Quinta del Federalismo, municipio de Zapopan, Jalisco.</t>
  </si>
  <si>
    <t>Colonia Quinta del Federalismo</t>
  </si>
  <si>
    <t>SERGIO ALBERTO</t>
  </si>
  <si>
    <t>BAYLÓN</t>
  </si>
  <si>
    <t>MORENO</t>
  </si>
  <si>
    <t>EDIFICACIONES ESTRUCTURALES COBAY, S.A. DE C.V.</t>
  </si>
  <si>
    <t>EEC9909173A7</t>
  </si>
  <si>
    <t>26 proyectos</t>
  </si>
  <si>
    <t>Elaboración de proyectos arquitectónicos y geométricos para diferentes obras 2018, municipio de Zapopan, Jalisco.</t>
  </si>
  <si>
    <t>HAYDEE LILIANA</t>
  </si>
  <si>
    <t>AGUILAR</t>
  </si>
  <si>
    <t>CASSIAN</t>
  </si>
  <si>
    <t>EDIFICA 2001, S.A. DE C.V.</t>
  </si>
  <si>
    <t>EDM970225I68</t>
  </si>
  <si>
    <t>3,480 M2</t>
  </si>
  <si>
    <t>2,775 M2</t>
  </si>
  <si>
    <t>3,801 M2</t>
  </si>
  <si>
    <t>3,900 M2</t>
  </si>
  <si>
    <t xml:space="preserve"> Tejeda</t>
  </si>
  <si>
    <t xml:space="preserve"> Alvarez</t>
  </si>
  <si>
    <t>3,350 M2</t>
  </si>
  <si>
    <t>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1.</t>
  </si>
  <si>
    <t>SERGIO CESAR</t>
  </si>
  <si>
    <t>DÍAZ</t>
  </si>
  <si>
    <t>QUIROZ</t>
  </si>
  <si>
    <t>GRUPO UNICRETO S.A. DE C.V.</t>
  </si>
  <si>
    <t>GUN880613NY1</t>
  </si>
  <si>
    <t>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2.</t>
  </si>
  <si>
    <t>ALEX</t>
  </si>
  <si>
    <t>MEDINA</t>
  </si>
  <si>
    <t>GÓMEZ</t>
  </si>
  <si>
    <t xml:space="preserve">MEDGAR CONSTRUCCIONES, S.A. </t>
  </si>
  <si>
    <t>MCO150527NY3</t>
  </si>
  <si>
    <t>Renovación urbana en área habitacional y zona comercial, Pavimentación con concreto hidráulico de Av. Tchaikovsky, carriles sentido Sur -Norte de Av. Ecónomos a calle Asesores y carriles sentido Norte-Sur de Av. Beethoven a Av. Ecónomos, incluye agua potable, drenaje, guarniciones, banquetas, alumbrado y señalética, en la colonia Arcos de Guadalupe, frente 3.</t>
  </si>
  <si>
    <t>RICARDO</t>
  </si>
  <si>
    <t>TECANHUEY</t>
  </si>
  <si>
    <t>LARIOS</t>
  </si>
  <si>
    <t>MQ RENTAL, S.A. DE C.V.</t>
  </si>
  <si>
    <t>MRE151124EK1</t>
  </si>
  <si>
    <t>Renovación urbana en área habitacional y zona comercial, Pavimentación con concreto hidráulico de Av. Manuel J. Clouthier - Volcán del Collí, incluye agua potable, drenaje, guarniciones, banquetas, alumbrado y señalética, en las colonias El Collí CTM y El Collí Urbano, frente 1.</t>
  </si>
  <si>
    <t>Colonias El Colli CTM y El Collo Urbano</t>
  </si>
  <si>
    <t>MIGUEL ÁNGEL</t>
  </si>
  <si>
    <t>ROMERO</t>
  </si>
  <si>
    <t>LUGO</t>
  </si>
  <si>
    <t>OBRAS Y COMERCIALIZACIÓN DE LA CONSTRUCCIÓN, S.A. DE C.V.</t>
  </si>
  <si>
    <t>Renovación urbana en área habitacional y zona comercial, Pavimentación con concreto hidráulico de Av. Manuel J. Clouthier - Volcán del Collí, incluye agua potable, drenaje, guarniciones, banquetas, alumbrado y señalética, en las colonias El Collí CTM y El Collí Urbano, frente 2.</t>
  </si>
  <si>
    <t>ENRIQUE CHRISTIAN</t>
  </si>
  <si>
    <t>ANSHIRO MINAKATA</t>
  </si>
  <si>
    <t>MORENTIN</t>
  </si>
  <si>
    <t>CONSTRUCCIONES MIROT, S.A. DE C.V.</t>
  </si>
  <si>
    <t>CMI110222AA0</t>
  </si>
  <si>
    <t>Renovación urbana en área habitacional y zona comercial, Pavimentación con concreto hidráulico de Av. Manuel J. Clouthier - Volcán del Collí, incluye agua potable, drenaje, guarniciones, banquetas, alumbrado y señalética, en las colonias El Collí CTM y El Collí Urbano, frente 3.</t>
  </si>
  <si>
    <t>37 PZAS</t>
  </si>
  <si>
    <t>Instalación de red eléctrica y obra complementaria en paso a desnivel ubicado en Boulevard Puerta de Hierro y Paseo Andares, zona Andares, municipio de Zapopan, Jalisco.</t>
  </si>
  <si>
    <t>4,900 M2</t>
  </si>
  <si>
    <t>10,442 M2</t>
  </si>
  <si>
    <t>333 ML</t>
  </si>
  <si>
    <t>Colonia Villas de Guadalupe</t>
  </si>
  <si>
    <t>2,332 M2</t>
  </si>
  <si>
    <t>1,485 M2</t>
  </si>
  <si>
    <t>647 M2</t>
  </si>
  <si>
    <t>Colonia Jardines Vallarta</t>
  </si>
  <si>
    <t>2,423 M2</t>
  </si>
  <si>
    <t>14,129 M2</t>
  </si>
  <si>
    <t>Colonia El Campanario</t>
  </si>
  <si>
    <t>2 PZAS</t>
  </si>
  <si>
    <t>820 ML</t>
  </si>
  <si>
    <t xml:space="preserve">López           </t>
  </si>
  <si>
    <t>Colonia Santa Lucia</t>
  </si>
  <si>
    <t>600 M2</t>
  </si>
  <si>
    <t>1,088 M2</t>
  </si>
  <si>
    <t xml:space="preserve"> Ramos</t>
  </si>
  <si>
    <t>Colonia La Mojonera</t>
  </si>
  <si>
    <t>5 PIEZAS</t>
  </si>
  <si>
    <t>2,000 M2</t>
  </si>
  <si>
    <t>Colonia La Tuzania</t>
  </si>
  <si>
    <t>4,390 M2</t>
  </si>
  <si>
    <t>446 M2</t>
  </si>
  <si>
    <t>Colonia Copalita</t>
  </si>
  <si>
    <t>255 ML</t>
  </si>
  <si>
    <t>Carbajal</t>
  </si>
  <si>
    <t xml:space="preserve"> Ruvalcaba</t>
  </si>
  <si>
    <t>Fraccionamiento Virreyes Residencial</t>
  </si>
  <si>
    <t>80 M2</t>
  </si>
  <si>
    <t>Colonia San Francisco</t>
  </si>
  <si>
    <t>273 M2</t>
  </si>
  <si>
    <t xml:space="preserve"> Rubio </t>
  </si>
  <si>
    <t>Colonia Rancho El Colorado</t>
  </si>
  <si>
    <t>884 ML</t>
  </si>
  <si>
    <t>1,580 M2</t>
  </si>
  <si>
    <t>520 M2</t>
  </si>
  <si>
    <t>2,456 M2</t>
  </si>
  <si>
    <t>6,053 M2</t>
  </si>
  <si>
    <t>2,546 M2</t>
  </si>
  <si>
    <t>7,670 M2</t>
  </si>
  <si>
    <t>3,854 M2</t>
  </si>
  <si>
    <t>4,636 M2</t>
  </si>
  <si>
    <t>4,633 M2</t>
  </si>
  <si>
    <t>3,124 M2</t>
  </si>
  <si>
    <t>3,198 M2</t>
  </si>
  <si>
    <t>310 M2</t>
  </si>
  <si>
    <t>1,050 ML</t>
  </si>
  <si>
    <t>1,500 M2</t>
  </si>
  <si>
    <t>39 M2</t>
  </si>
  <si>
    <t>4 PZAS</t>
  </si>
  <si>
    <t>852 M2</t>
  </si>
  <si>
    <t>1,914 M2</t>
  </si>
  <si>
    <t>739 M2</t>
  </si>
  <si>
    <t>Colonia República</t>
  </si>
  <si>
    <t>Colonia Unidad Fovissste</t>
  </si>
  <si>
    <t>337 M2</t>
  </si>
  <si>
    <t>Colonia San Isidro Ejidal</t>
  </si>
  <si>
    <t>3,523 M2</t>
  </si>
  <si>
    <t>3,010 M2</t>
  </si>
  <si>
    <t>Colonia Jardínes del Valle</t>
  </si>
  <si>
    <t>236 ML</t>
  </si>
  <si>
    <t xml:space="preserve"> Quirarte</t>
  </si>
  <si>
    <t xml:space="preserve"> Olmos</t>
  </si>
  <si>
    <t>3 PZA</t>
  </si>
  <si>
    <t xml:space="preserve"> Barcena </t>
  </si>
  <si>
    <t>Colonias Royal Country y puerta de Hierro</t>
  </si>
  <si>
    <t>10 PZA</t>
  </si>
  <si>
    <t>12 PZA</t>
  </si>
  <si>
    <t>No Aplica</t>
  </si>
  <si>
    <t>42 M3</t>
  </si>
  <si>
    <t>Colonia El Vigia</t>
  </si>
  <si>
    <t>320 M2</t>
  </si>
  <si>
    <t>394 M2</t>
  </si>
  <si>
    <t>100 ML</t>
  </si>
  <si>
    <t>Colonias Víctor Hugo, Indígena de Mezquitán y La Esperanza</t>
  </si>
  <si>
    <t>1,220 M2</t>
  </si>
  <si>
    <t>Colonia Santa María del Pueblito</t>
  </si>
  <si>
    <t>754 M2</t>
  </si>
  <si>
    <t>Colonia Aurelio Ortega</t>
  </si>
  <si>
    <t>1,796 M2</t>
  </si>
  <si>
    <t>460 ML</t>
  </si>
  <si>
    <t>775 M2</t>
  </si>
  <si>
    <t>Colonia Miramar Poniente</t>
  </si>
  <si>
    <t>420 M3</t>
  </si>
  <si>
    <t>Colonias Vicente Guerrero, Paraisos del Colli, San José del Bajío y Gustavo Diaz Ordaz</t>
  </si>
  <si>
    <t>1,619 M2</t>
  </si>
  <si>
    <t>Colonias Gustavo Diaz Ordaz, Jardínes del Valle, Paraisos del Colli y Vicente Guerrero</t>
  </si>
  <si>
    <t>40,260 KG</t>
  </si>
  <si>
    <t>183 M2</t>
  </si>
  <si>
    <t>Construcción de pista de atletismo en la Unidad Deportiva Tabachines, municipio de Zapopan, Jalisco.</t>
  </si>
  <si>
    <t xml:space="preserve">EDUARDO </t>
  </si>
  <si>
    <t>RS OBRAS Y SERVICIOS S.A. DE C.V.</t>
  </si>
  <si>
    <t>ROS120904PV9</t>
  </si>
  <si>
    <t xml:space="preserve">Peatonalización, construcción de banquetas, sustitución de guarniciones, bolardos, jardinería, señalética, red eléctrica de media tensión y servicios complementarios en la Av. General Ramón Corona, en la zona de La Mojonera, municipio de Zapopan, Jalisco.  </t>
  </si>
  <si>
    <t>TRANSCRETO S.A. DE C.V.</t>
  </si>
  <si>
    <t>TRA750528286</t>
  </si>
  <si>
    <t>Construcción de colector de alejamiento en la localidad de Pedregal de Milpillas, municipio de Zapopan, Jalisco, Frente 3.</t>
  </si>
  <si>
    <t>JOSÉ DE JESÚS</t>
  </si>
  <si>
    <t>CÁRDENAS</t>
  </si>
  <si>
    <t xml:space="preserve">SOLÍS </t>
  </si>
  <si>
    <t>CEIESE CONSTRUCCIÓN Y EDIFICACIÓN, S.A. DE C.V.</t>
  </si>
  <si>
    <t>CCE170517HW2</t>
  </si>
  <si>
    <t>Construcción de obras exteriores, instalaciones eléctricas y obra complementaria en el Centro Cultural en la colonia Villas de Guadalupe, municipio de Zapopan, Jalisco.</t>
  </si>
  <si>
    <t>GARCÍA</t>
  </si>
  <si>
    <t>URBANIZADORA Y CONSTRUCTORA ROAL, S.A. DE C.V.</t>
  </si>
  <si>
    <t>URC160310857</t>
  </si>
  <si>
    <t>Pavimentación con concreto hidráulico de la calle San Pedro del km. 0+000 al km. 0+260, en la colonia Villa de Guadalupe, municipio de Zapopan, Jalisco.</t>
  </si>
  <si>
    <t>ERICK</t>
  </si>
  <si>
    <t>VILLASEÑOR</t>
  </si>
  <si>
    <t>GUTIÉRREZ</t>
  </si>
  <si>
    <t>PIXIDE CONSTRUCTORA, S.A. DE C.V.</t>
  </si>
  <si>
    <t>PCO140829425</t>
  </si>
  <si>
    <t>Pavimentación con concreto hidráulico de la calle San Pedro del km. 0+260 al km. 0+514, en la colonia Villa de Guadalupe, municipio de Zapopan, Jalisco.</t>
  </si>
  <si>
    <t>FELIPE DANIEL II</t>
  </si>
  <si>
    <t>NÚÑEZ</t>
  </si>
  <si>
    <t>PINZÓN</t>
  </si>
  <si>
    <t>GRUPO NUVECO, S.A. DE C.V.</t>
  </si>
  <si>
    <t>GNU120809KX1</t>
  </si>
  <si>
    <t>Pavimentación con concreto hidráulico, incluye: banquetas, peatonalización, red de drenaje sanitario, red de agua potable, señalamiento vertical y horizontal y servicios complementarios de la lateral norte de Avenida Vallarta, en la colonia Jardines Vallarta, en el municipio de Zapopan, Jalisco.</t>
  </si>
  <si>
    <t>GRUPO UNICRETO DE MÉXICO S.A. DE C.V.</t>
  </si>
  <si>
    <t>GUM111201IA5</t>
  </si>
  <si>
    <t>Construcción de andadores, módulo de baños, barda perimetral y obra complementaria en la Unidad Deportiva San Juan de Ocotán, municipio de Zapopan, Jalisco.</t>
  </si>
  <si>
    <t>JAIME FERNANDO</t>
  </si>
  <si>
    <t>ÁLVAREZ</t>
  </si>
  <si>
    <t>LOZANO</t>
  </si>
  <si>
    <t>INOVACIONES EN MOBILIARIO URBANO S.A. DE C.V.</t>
  </si>
  <si>
    <t>IMU120820NM7</t>
  </si>
  <si>
    <t>Construcción de fosa de cimentación y estructura metálica para la instalación de elevador en el puente peatonal en Av. López Mateos Sur – El Campanario, municipio de Zapopan, Jalisco.</t>
  </si>
  <si>
    <t>JOSÉ ANTONIO</t>
  </si>
  <si>
    <t>ZULOAGA</t>
  </si>
  <si>
    <t>GRUPO DESARROLLADOR ALZU, S.A. DE C.V.</t>
  </si>
  <si>
    <t>GDA150928286</t>
  </si>
  <si>
    <t>Peatonalización, señalética horizontal y vertical y obra complementaria para la construcción de la calle Plata con concreto hidráulico de calle Estaño a Av. Juan Pablo II, en la Zona de San José del Bajío, en el municipio de Zapopan, Jalisco.</t>
  </si>
  <si>
    <t>JORGE LUIS</t>
  </si>
  <si>
    <t>MARISCAL</t>
  </si>
  <si>
    <t>TORRES</t>
  </si>
  <si>
    <t>BNKER EDIFICACIONES Y CONSTRUCCIONES, S.A. DE C.V.</t>
  </si>
  <si>
    <t>BEC0906257J5</t>
  </si>
  <si>
    <t>Construcción de cancha de usos múltiples y obra complementaria en la Unidad Deportiva Santa Lucia, municipio de Zapopan, Jalisco.</t>
  </si>
  <si>
    <t>PALAFOX</t>
  </si>
  <si>
    <t>VILLEGAS</t>
  </si>
  <si>
    <t>MEGAENLACE CONSTRUCCIONES S.A. DE C.V.</t>
  </si>
  <si>
    <t>MCO1510113H8</t>
  </si>
  <si>
    <t>Obra complementaria para la terminación de la calle Magnolia con concreto hidráulico de Prolongación Acueducto a Av. Santa Margarita, en la zona de Santa Margarita, en el municipio de Zapopan, Jalisco.</t>
  </si>
  <si>
    <t>ANDRÉS EDUARDO</t>
  </si>
  <si>
    <t>ACEVES</t>
  </si>
  <si>
    <t>CASTAÑEDA</t>
  </si>
  <si>
    <t>SECRI CONSTRUCTORA, S.A. DE C.V.</t>
  </si>
  <si>
    <t>SCO100609EVA</t>
  </si>
  <si>
    <t>Construcción de bocas de tormenta y pozos de absorción en la Av. General Ramón Corona, en la zona de La Mojonera, municipio de Zapopan, Jalisco, frente 1.</t>
  </si>
  <si>
    <t>J. GERARDO</t>
  </si>
  <si>
    <t>NICANOR</t>
  </si>
  <si>
    <t>MEJÍA MARISCAL</t>
  </si>
  <si>
    <t>INECO CONSTRUYE, S.A. DE C.V.</t>
  </si>
  <si>
    <t>ICO980722MQ4</t>
  </si>
  <si>
    <t>Pavimentación con concreto hidráulico en la calle Los Huejotes de la calle Tulipán a la calle Paseo de los Tamarindos en la colonia Lomas de Tabachines, incluye: drenaje sanitario, agua potable, banquetas, peatonalización, señalamiento y obras complementarias, en el municipio de Zapopan, Jalisco.</t>
  </si>
  <si>
    <t>VÍCTOR</t>
  </si>
  <si>
    <t>ZAYAS</t>
  </si>
  <si>
    <t>RIQUELME</t>
  </si>
  <si>
    <t>GEMINIS INTERNACIONAL CONSTRUCTORA, S.A. DE C.V.</t>
  </si>
  <si>
    <t>GIC810323RA6</t>
  </si>
  <si>
    <t xml:space="preserve">Construcción de motivos de ingreso, peatonalización en áreas exteriores, barda perimetral, alumbrado, plazoleta y caseta de ingreso a la Unidad Deportiva La Tuzania, municipio de Zapopan, Jalisco. </t>
  </si>
  <si>
    <t>APOLINAR</t>
  </si>
  <si>
    <t>ALONSO</t>
  </si>
  <si>
    <t>EDIFICACIONES Y TRANSFORMACIONES TÉCNICAS, S.A. DE C.V.</t>
  </si>
  <si>
    <t>ETT9302049B2</t>
  </si>
  <si>
    <t>Construcción de área de juegos infantiles y colocación de pasto sintético en áreas comunes de la Unidad Deportiva La Tuzania, municipio de Zapopan, Jalisco.</t>
  </si>
  <si>
    <t>MARÍA ARCELIA</t>
  </si>
  <si>
    <t>IÑIGUEZ</t>
  </si>
  <si>
    <t>HERNÁNDEZ</t>
  </si>
  <si>
    <t>COMERCIALIZADORA POLÍGONO, S..A DE C.V.</t>
  </si>
  <si>
    <t>COP1209104M8</t>
  </si>
  <si>
    <t>Construcción de línea de electrificación para pozo profundo ubicado en la colonia Copalita Poblado, municipio de Zapopan, Jalisco.</t>
  </si>
  <si>
    <t>ARMANDO</t>
  </si>
  <si>
    <t>ARROYO</t>
  </si>
  <si>
    <t>ZEPEDA</t>
  </si>
  <si>
    <t>CONSTRUCTORA Y URBANIZADORA PORTOKALI, S.A. DE C.V.</t>
  </si>
  <si>
    <t>CUP160122E20</t>
  </si>
  <si>
    <t>Control de calidad de diferentes obras 2018 del municipio de Zapopan, Jalisco, frente 3.</t>
  </si>
  <si>
    <t>MEZA</t>
  </si>
  <si>
    <t>PONCE</t>
  </si>
  <si>
    <t>CME CALIDAD MODELO DE EFICANCIA, S.A. DE C.V.</t>
  </si>
  <si>
    <t>CCM1405243C4</t>
  </si>
  <si>
    <t>Construcción de módulo de baños en el Parque Virreyes, ubicada sobre la calle Paseo de los Virreyes, en el Fraccionamiento Virreyes Residencial, incluye andadores y accesibilidad, municipio de Zapopan, Jalisco.</t>
  </si>
  <si>
    <t>MORA</t>
  </si>
  <si>
    <t>BLACKALLER</t>
  </si>
  <si>
    <t>GRUPO CONSTRUCTOR INNOBLACK, S.A. DE C.V.</t>
  </si>
  <si>
    <t>GCI070523CW4</t>
  </si>
  <si>
    <t>Estructuras con lonaria para protección de rayos ultravioleta, en la Escuela Vigía 2, ubicada en la calle Fray Francisco San Lorenzo, No. 50, colonia San Francisco, municipio de Zapopan, Jalisco.</t>
  </si>
  <si>
    <t>HÉCTOR MARIO</t>
  </si>
  <si>
    <t>GALVARRIATO FREER</t>
  </si>
  <si>
    <t>ESPECIALISTAS EN ACABADOS PROFESIONALES, S.A DE C.V.</t>
  </si>
  <si>
    <t>EAP000106BW7</t>
  </si>
  <si>
    <t>Construcción de Red de drenaje sanitario y línea de alejamiento en calles de la Colonia Rancho El Colorado, municipio de Zapopan, Jalisco. Frente 3.</t>
  </si>
  <si>
    <t>ANTONIO</t>
  </si>
  <si>
    <t>CARRILLO</t>
  </si>
  <si>
    <t>SEGURA</t>
  </si>
  <si>
    <t>ITERACIÓN, S.A. DE C.V.</t>
  </si>
  <si>
    <t>ITE080214UD3</t>
  </si>
  <si>
    <t>Rehabilitación de centro cultural que incluye: Plazoleta principal, áreas verdes, pavimentación, mobiliario urbano, bolardos, construcción de áreas interactivas, en la Tuzanía, municipio de Zapopan, Jalisco. Frente 1.</t>
  </si>
  <si>
    <t xml:space="preserve"> MARTHA </t>
  </si>
  <si>
    <t>JIMÉNEZ</t>
  </si>
  <si>
    <t>LÓPEZ</t>
  </si>
  <si>
    <t>INMOBILIARIA BOCHUM S. DE R.L. DE C.V.</t>
  </si>
  <si>
    <t>IBO090918ET9</t>
  </si>
  <si>
    <t>Rehabilitación de centro cultural que incluye: Plazoleta principal, áreas verdes, pavimentación, mobiliario urbano, bolardos, construcción de áreas interactivas, en la Tuzanía, municipio de Zapopan, Jalisco. Frente 2.</t>
  </si>
  <si>
    <t>CRUZ</t>
  </si>
  <si>
    <t>MOGUEL</t>
  </si>
  <si>
    <t>BALKEN, S.A. DE C.V.</t>
  </si>
  <si>
    <t>BAL990803661</t>
  </si>
  <si>
    <t>Rehabilitación de unidad deportiva que incluye: Canchas, ingresos, áreas verdes, andadores, mobiliario urbano e iluminación, en Santa Margarita Residencial, municipio de Zapopan, Jalisco. Frente 1.</t>
  </si>
  <si>
    <t>Colonia Santa Margarita Residencial</t>
  </si>
  <si>
    <t>ROCÍO</t>
  </si>
  <si>
    <t xml:space="preserve">GÓMEZ </t>
  </si>
  <si>
    <t>RGP CONSTRUCCIONES, S.A. DE C.V.</t>
  </si>
  <si>
    <t>RCO100909MQ1</t>
  </si>
  <si>
    <t>Rehabilitación de unidad deportiva que incluye: Canchas, ingresos, áreas verdes, andadores, mobiliario urbano e iluminación, en Santa Margarita Residencial, municipio de Zapopan, Jalisco. Frente 2.</t>
  </si>
  <si>
    <t>HÉCTOR MAURICIO</t>
  </si>
  <si>
    <t>GRAMILLO</t>
  </si>
  <si>
    <t>GONZÁLEZ</t>
  </si>
  <si>
    <t>DESARROLLOS ECOLÓGICOS DE MÉXICO, S.A. DE C.V.</t>
  </si>
  <si>
    <t>DED100816GB1</t>
  </si>
  <si>
    <t>Rehabilitación de unidad deportiva que incluye: Canchas, ingresos, áreas verdes, andadores, mobiliario urbano e iluminación, en Santa Margarita Residencial, municipio de Zapopan, Jalisco. Frente 3.</t>
  </si>
  <si>
    <t>MARÍA DE LOURDES</t>
  </si>
  <si>
    <t>PARRA</t>
  </si>
  <si>
    <t>PRECIADO</t>
  </si>
  <si>
    <t>CONSTRUCTORA CARVGO, S.A. DE C.V.</t>
  </si>
  <si>
    <t>CCA121113SY9</t>
  </si>
  <si>
    <t>Rehabilitación de plaza principal en la colonia Altagracia y construcción de parque lineal en Av. La Mancha, en las colonias Altagracia y Arcos de Zapopan, municipio de Zapopan, Jalisco. Frente 1.</t>
  </si>
  <si>
    <t>Colonias Altagracia y Arcos de Zapopan</t>
  </si>
  <si>
    <t>CARLOS</t>
  </si>
  <si>
    <t>PÉREZ</t>
  </si>
  <si>
    <t>CONSTRUCTORA PECRU, S.A. DE C.V.</t>
  </si>
  <si>
    <t>CPE070123PD4</t>
  </si>
  <si>
    <t>Rehabilitación de plaza principal en la colonia Altagracia y construcción de parque lineal en Av. La Mancha, en las colonias Altagracia y Arcos de Zapopan, municipio de Zapopan, Jalisco. Frente 2.</t>
  </si>
  <si>
    <t>AMALIA</t>
  </si>
  <si>
    <t>MALDONADO</t>
  </si>
  <si>
    <t>GRUPO CONSTRUCTOR LOS MUROS, S.A. DE C.V.</t>
  </si>
  <si>
    <t>GCM020226F28</t>
  </si>
  <si>
    <t>Rehabilitación de plaza principal en la colonia Altagracia y construcción de parque lineal en Av. La Mancha, en las colonias Altagracia y Arcos de Zapopan, municipio de Zapopan, Jalisco. Frente 3.</t>
  </si>
  <si>
    <t>HÉCTOR RUBÉN</t>
  </si>
  <si>
    <t>VARGAS</t>
  </si>
  <si>
    <t>DOS-HB CONSTRUCCIÓN, S.A. DE C.V.</t>
  </si>
  <si>
    <t>DCO140606CT5</t>
  </si>
  <si>
    <t>Rehabilitación de plaza principal en la colonia Altagracia y construcción de parque lineal en Av. La Mancha, en las colonias Altagracia y Arcos de Zapopan, municipio de Zapopan, Jalisco. Frente 4.</t>
  </si>
  <si>
    <t>INFRAESTRUCTURA RHINO77, S.A. DE C.V.</t>
  </si>
  <si>
    <t>IRH140924LX3</t>
  </si>
  <si>
    <t>Rehabilitación de plaza principal en la colonia Altagracia y construcción de parque lineal en Av. La Mancha, en las colonias Altagracia y Arcos de Zapopan, municipio de Zapopan, Jalisco. Frente 5.</t>
  </si>
  <si>
    <t>Rehabilitación integral de vialidad Imperio-Granaditos-Experiencia-Álvaro Obregón. Desde Periférico hasta Atemajac, incluyendo rehabilitación de banquetas, municipio de Zapopan, Jalisco. Frente 1.</t>
  </si>
  <si>
    <t>Colonias Imperio, Granaditos, Experiencia, Álvaro Obregón y Atemac</t>
  </si>
  <si>
    <t>Rehabilitación integral de vialidad Imperio-Granaditos-Experiencia-Álvaro Obregón. Desde Periférico hasta Atemajac, incluyendo rehabilitación de banquetas, municipio de Zapopan, Jalisco. Frente 2.</t>
  </si>
  <si>
    <t>CARLOS IGNACIO</t>
  </si>
  <si>
    <t>CURIEL</t>
  </si>
  <si>
    <t>DUEÑAS</t>
  </si>
  <si>
    <t>CONSTRUCTORA CECUCHI, S.A. DE C.V.</t>
  </si>
  <si>
    <t>CCE130723IR7</t>
  </si>
  <si>
    <t>Rehabilitación integral de vialidad Imperio-Granaditos-Experiencia-Álvaro Obregón. Desde Periférico hasta Atemajac, incluyendo rehabilitación de banquetas, municipio de Zapopan, Jalisco. Frente 3.</t>
  </si>
  <si>
    <t>CLAUDIO FELIPE</t>
  </si>
  <si>
    <t>TRUJILLO</t>
  </si>
  <si>
    <t>GRACIAN</t>
  </si>
  <si>
    <t>DESARROLLADORA LUMADI, S.A. DE C.V.</t>
  </si>
  <si>
    <t>DLU100818F46</t>
  </si>
  <si>
    <t>Rehabilitación integral de vialidad Imperio-Granaditos-Experiencia-Álvaro Obregón. Desde Periférico hasta Atemajac, incluyendo rehabilitación de banquetas, municipio de Zapopan, Jalisco. Frente 4.</t>
  </si>
  <si>
    <t>RAÚL</t>
  </si>
  <si>
    <t xml:space="preserve">ORTEGA </t>
  </si>
  <si>
    <t>JARA</t>
  </si>
  <si>
    <t>CONSTRUCCIONES ANAYARI, S.A. DE C.V.V</t>
  </si>
  <si>
    <t>CAN030528ME0</t>
  </si>
  <si>
    <t>Rehabilitación integral de vialidad Imperio-Granaditos-Experiencia-Álvaro Obregón. Desde Periférico hasta Atemajac, incluyendo rehabilitación de banquetas, municipio de Zapopan, Jalisco. Frente 5.</t>
  </si>
  <si>
    <t>VÍCTOR MANUEL</t>
  </si>
  <si>
    <t>JAUREGUI</t>
  </si>
  <si>
    <t>CONSTRUCTORA ERLORT Y ASOCIADOS, S.A. DE C.V.</t>
  </si>
  <si>
    <t>CEA070208SB1</t>
  </si>
  <si>
    <t>ALIANZA CONSTRUCTIVA KAMIR, S.A. DE C.V.</t>
  </si>
  <si>
    <t>Rehabilitación integral del centro barrial en Paraísos del Colli, municipio de Zapopan, Jalisco. Frente 3.</t>
  </si>
  <si>
    <t>ADALBERTO</t>
  </si>
  <si>
    <t>MORALES</t>
  </si>
  <si>
    <t>URDEM, S.A. DE C.V.</t>
  </si>
  <si>
    <t>URD130830U21</t>
  </si>
  <si>
    <t>Reubicación e instalación de redes subterráneas de líneas de alta tensión y media tensión sobre el kilómetro 11+650 de la carretera Guadalajara - Nogales, municipio de Zapopan, Jalisco.</t>
  </si>
  <si>
    <t>ARTURO</t>
  </si>
  <si>
    <t>RÁNGEL</t>
  </si>
  <si>
    <t>PAEZ</t>
  </si>
  <si>
    <t>CONSTRUCTORA LASA, S.A. DE C.V.</t>
  </si>
  <si>
    <t>CLA890925ER5</t>
  </si>
  <si>
    <t>Pavimentación con concreto hidráulico de vialidades, incluye: drenaje sanitario, agua potable, banquetas, peatonalización, señalamiento y obras complementarias, en la colonia Vicente Guerrero, municipio de Zapopan, Jalisco, frente 1.</t>
  </si>
  <si>
    <t>J. JESÚS</t>
  </si>
  <si>
    <t>VILLANUEVA</t>
  </si>
  <si>
    <t>CONSTRUCCIONES COVIMEX, S.A. DE C.V.</t>
  </si>
  <si>
    <t>CCO0404226D8</t>
  </si>
  <si>
    <t>Pavimentación con concreto hidráulico de vialidades, incluye: drenaje sanitario, agua potable, banquetas, peatonalización, señalamiento y obras complementarias, en la colonia Vicente Guerrero, municipio de Zapopan, Jalisco, frente 2.</t>
  </si>
  <si>
    <t>ALFREDO</t>
  </si>
  <si>
    <t>FLORES</t>
  </si>
  <si>
    <t>CHÁVEZ</t>
  </si>
  <si>
    <t>CONSTRUCTORA AMICUM, S.A. DE C.V.</t>
  </si>
  <si>
    <t>CAM160621G52</t>
  </si>
  <si>
    <t>Peatonalización (banquetas y obras de accesibilidad) en la Glorieta Chapalita y en la Av. Guadalupe de la Glorieta Chapalita a la Av. Niño Obrero, en la Colonia Chapalita, municipio de Zapopan, Jalisco. Frente 1.</t>
  </si>
  <si>
    <t>CLARISSA GABRIELA</t>
  </si>
  <si>
    <t>VALDEZ</t>
  </si>
  <si>
    <t>MANJARREZ</t>
  </si>
  <si>
    <t>TEKTON GRUPO EMPRESARIAL, S.A. DE C.V.</t>
  </si>
  <si>
    <t>TGE101215JI6</t>
  </si>
  <si>
    <t>Construcción de boca de tormenta, sobre calle Valle de Ameca, en la colonia Jardines del Valle, municipio de Zapopan, Jalisco.</t>
  </si>
  <si>
    <t>HIRAM</t>
  </si>
  <si>
    <t>SÁNCHEZ</t>
  </si>
  <si>
    <t>CONSTRUSANLU URBANIZADORA, S.A. DE C.V.</t>
  </si>
  <si>
    <t>CUR130430U59</t>
  </si>
  <si>
    <t>Obra complementaria para la construcción de planta de tratamiento tipo rural, en la localidad de Pedregal de Milpillas, municipio de Zapopan, Jalisco.</t>
  </si>
  <si>
    <t>Construcción de red complementaria de agua potable en las colonias La Vinatera y Ejido Copalita, municipio de Zapopan, Jalisco.</t>
  </si>
  <si>
    <t>Peatonalización, construcción de banquetas, bolardos, guarniciones, señalética horizontal y vertical y obra complementaria  en la calle Cuarta Poniente de Segunda Norte a Quinta Norte, en la colonia Nuevo México, en el municipio de Zapopan, Jalisco.</t>
  </si>
  <si>
    <t>Peatonalización (banquetas y obras de accesibilidad) en la Glorieta Chapalita y en la Av. Guadalupe de la Glorieta Chapalita a la Av. Niño Obrero, en la Colonia Chapalita, municipio de Zapopan, Jalisco. Frente 2.</t>
  </si>
  <si>
    <t>EDWIN</t>
  </si>
  <si>
    <t>AGUIAR</t>
  </si>
  <si>
    <t>ESCATEL</t>
  </si>
  <si>
    <t>MANJARREZ URBANIZACIONES, S.A. DE C.V.</t>
  </si>
  <si>
    <t>MUR090325P33</t>
  </si>
  <si>
    <t>Pavimentación con concreto hidráulico en la calle Miguel Sandoval de la calle Ignacio Espinoza al ingreso al ingreso del Centro Cultural en la colonia Villas de Guadalupe, incluye: drenaje sanitario, agua potable, banquetas, peatonalización, señalamiento y obras complementarias, en el municipio de Zapopan, Jalisco.</t>
  </si>
  <si>
    <t>PABLO ALEJANDRO</t>
  </si>
  <si>
    <t xml:space="preserve">CHÁVEZ </t>
  </si>
  <si>
    <t>CORTES</t>
  </si>
  <si>
    <t>URBACHAVEZ, S.A. DE C.V.</t>
  </si>
  <si>
    <t>URB151121PN3</t>
  </si>
  <si>
    <t>Construcción de empedrado zampeado, incluye: red de drenaje pluvial, bocas de tormenta, pozos de visita, guarniciones y banquetas en la calle Vista Real de Vista al Mirador a cerrada, en la Colonia Vista Hermosa, municipio de Zapopan, Jalisco.</t>
  </si>
  <si>
    <t>RAFAEL AUGUSTO</t>
  </si>
  <si>
    <t>CABALLERO</t>
  </si>
  <si>
    <t>QUIRARTE</t>
  </si>
  <si>
    <t>PROYECTOS ARQUITECTÓNICOS TRIANGULO, S.A. DE C.V.</t>
  </si>
  <si>
    <t>PAT110331HH0</t>
  </si>
  <si>
    <t>Red eléctrica para alumbrado y pintura en cancha de usos múltiples en la Unidad Deportiva República, municipio de Zapopan, Jalisco.</t>
  </si>
  <si>
    <t xml:space="preserve">J. JESÚS </t>
  </si>
  <si>
    <t>SILVA</t>
  </si>
  <si>
    <t>STUDIO KAPITAL CONSTRUCTORA, S.A. DE C.V.</t>
  </si>
  <si>
    <t>SKC171027PH6</t>
  </si>
  <si>
    <t>Pintura en exteriores e impermeabilización de azotea en el Centro de Atención a Niños con Autismo, ubicado en la colonia Unidad Fovissste, municipio de Zapopan, Jalisco.</t>
  </si>
  <si>
    <t>SARMIENTO</t>
  </si>
  <si>
    <t>CONSTRUBRAVO, S.A. DE C.V.</t>
  </si>
  <si>
    <t>CON020208696</t>
  </si>
  <si>
    <t>Obra complementaria para la terminación de pavimento de empedrado tradicional e instalación hidráulica en la calle Ejido de Hidalgo a Manuel García, en la localidad La Venta del Astillero, municipio de Zapopan, Jalisco.</t>
  </si>
  <si>
    <t>JOSÉ OMAR</t>
  </si>
  <si>
    <t>FERNÁNDEZ</t>
  </si>
  <si>
    <t>VÁZQUEZ</t>
  </si>
  <si>
    <t>EXTRA CONSTRUCCIONES, S.A. DE C.V.</t>
  </si>
  <si>
    <t>Red eléctrica, mobiliario urbano y obra complementaria en espacio recreativo en la colonia San Isidro Ejidal, municipio de Zapopan, Jalisco.</t>
  </si>
  <si>
    <t>ERNESTO</t>
  </si>
  <si>
    <t>OLIVARES</t>
  </si>
  <si>
    <t xml:space="preserve">METRICA INFRAESTRUCTURA, S.A. DE C.V. </t>
  </si>
  <si>
    <t>MIN170819GG1</t>
  </si>
  <si>
    <t>Obra complementaria para la terminación de la calle Ocampo con concreto hidráulico de calle Independencia a calle Parral, colonia San Juan de Ocotán, Zapopan, Jalisco.</t>
  </si>
  <si>
    <t>FRANCISCO JAVIER</t>
  </si>
  <si>
    <t>RUÍZ</t>
  </si>
  <si>
    <t>CONSTRUCTORA DIRU, S.A. DE C.V.</t>
  </si>
  <si>
    <t>Obra complementaria para la terminación del colector pluvial en Av. Valle de Tesistán, entre Camino Viejo a Tesistán y Av. Acueducto, colonia Jardines del Valle, municipio de Zapopan, Jalisco.</t>
  </si>
  <si>
    <t>Desmontaje, rehabilitación e instalación de puentes peatonales en diferentes zonas del municipio de Zapopan, Jalisco.</t>
  </si>
  <si>
    <t>ELBA</t>
  </si>
  <si>
    <t xml:space="preserve">GONZÁLEZ </t>
  </si>
  <si>
    <t>AGUIRRE</t>
  </si>
  <si>
    <t>GA URBANIZACIÓN, S.A. DE C.V.</t>
  </si>
  <si>
    <t>GUR120612P22</t>
  </si>
  <si>
    <t>Rehabilitación y equipamiento de pozo profundo ubicado en el cruce Periférico Sur y Adolfo López Mateos, en la colonia El Mante, municipio de Zapopan, Jalisco.</t>
  </si>
  <si>
    <t>ROBERTO</t>
  </si>
  <si>
    <t>ARREOLA</t>
  </si>
  <si>
    <t>ESTUDIOS SISTEMAS Y CONSTRUCCIONES, S.A. DE C.V.</t>
  </si>
  <si>
    <t>ESC930617KW9</t>
  </si>
  <si>
    <t>Obra complementaria para la terminación de la pavimentación con concreto hidráulico de la Av. Royal Country, en los fraccionamientos Royal Country, Puerta de Hierro y Puerta Plata, municipio de Zapopan, Jalisco.</t>
  </si>
  <si>
    <t>Diagnóstico, diseño y proyectos hidráulicos 2018, frente 1, de diferentes redes de agua potable y alcantarillado, municipio de Zapopan Jalisco.</t>
  </si>
  <si>
    <t>JAVIER</t>
  </si>
  <si>
    <t xml:space="preserve">ÁVILA </t>
  </si>
  <si>
    <t>SAVHO CONSULTORÍA Y CONSTRUCCIÓN, S.A. DE C.V.</t>
  </si>
  <si>
    <t>SCC060622HZ3</t>
  </si>
  <si>
    <t>Construcción de muro de contención de mampostería en calle Loma Alta a su cruce con la calle Paseo de los Manzanos, en la colonia Lomas de Tabachines, municipio de Zapopan, Jalisco.</t>
  </si>
  <si>
    <t>LUIS ERNESTO</t>
  </si>
  <si>
    <t>TOSCANA INGENIERÍA, S. A.  DE C.V.</t>
  </si>
  <si>
    <t>TIN04100824A</t>
  </si>
  <si>
    <t>Construcción de módulo de baños en el Centro de Atención Múltiple José Vasconcelos y andadores en camellón de Boulevard El Rodeo, en la colonia El Vigía, municipio de Zapopan, Jalisco.</t>
  </si>
  <si>
    <t>OMAR</t>
  </si>
  <si>
    <t>MONTES DE OCA</t>
  </si>
  <si>
    <t>DOMMONT CONSTRUCCIONES, S.A. DE C.V.</t>
  </si>
  <si>
    <t>DCO130215C16</t>
  </si>
  <si>
    <t>Reposición de empedrado en calle Atotonilco, colonia Nuevo México, municipio de Zapopan, Jalisco.</t>
  </si>
  <si>
    <t>MONTOYA</t>
  </si>
  <si>
    <t>TORRES AGUIRRE INGENIEROS, S.A. DE C.V.</t>
  </si>
  <si>
    <t>TAI920312952</t>
  </si>
  <si>
    <t>Alumbrado público y señalamiento horizontal en la calle Nueva Orleans de Lituania a Av. Juan Gil Preciado, colonia Juan Gil Preciado, municipio de Zapopan, Jalisco.</t>
  </si>
  <si>
    <t>Construcción de plataforma para desplante de cimentación y firmes de estructura en terreno ubicado en la calle Valle de la Barranca entre Valentín Vidrio Arce y Otawa, Fracc. Valle de los Molinos, municipio de Zapopan, Jalisco.</t>
  </si>
  <si>
    <t>Construcción de estructura con lonaria en la Secundaria 4 mixta "Ignacio Ramos Praslow", en Zapopan, Jalisco.</t>
  </si>
  <si>
    <t>Programa municipal de bacheo en vialidades de las colonias Víctor Hugo, Indígena de Mezquitán y La Esperanza, municipio de Zapopan, Jalisco.</t>
  </si>
  <si>
    <t>CARLOS FELIPE</t>
  </si>
  <si>
    <t>GUERRA</t>
  </si>
  <si>
    <t>URBANIZADORA VÁZQUEZ GUERRA, S.A. DE C.V.</t>
  </si>
  <si>
    <t>Obra complementaria para la terminación de la rehabilitación de las instalaciones y equipamiento deportivo de la Unidad Deportiva Santa María del Pueblito, municipio de Zapopan, Jalisco.</t>
  </si>
  <si>
    <t>JUAN JOSÉ</t>
  </si>
  <si>
    <t>RENCOIST CONSTRUCCIONES, S.A. DE C.V.</t>
  </si>
  <si>
    <t>RCO130920JX9</t>
  </si>
  <si>
    <t>Construcción de andadores, albañilería, red eléctrica y obra complementaria para la terminación del Parque Aurelio Ortega, municipio de Zapopan, Jalisco.</t>
  </si>
  <si>
    <t>JUAN CARLOS</t>
  </si>
  <si>
    <t>SUAZO</t>
  </si>
  <si>
    <t>CODIGO A CONSTRUCTORES, S.A. DE C.V.</t>
  </si>
  <si>
    <t>CCO1304181PA</t>
  </si>
  <si>
    <t>Alumbrado público para la calle Ocampo, en la colonia San Juan de Ocotán, Zapopan, Jalisco.</t>
  </si>
  <si>
    <t>PAOLA ALEJANDRA</t>
  </si>
  <si>
    <t>OBRAS CIVILES ACUARIO, S.A. DE C.V.</t>
  </si>
  <si>
    <t>OCA080707FG8</t>
  </si>
  <si>
    <t>Red eléctrica para alumbrado en cancha de usos múltiples en la Escuela Secundaria Mixta 18, en la colonia Ciudad Granja, municipio de Zapopan, Jalisco.</t>
  </si>
  <si>
    <t xml:space="preserve">JESÚS </t>
  </si>
  <si>
    <t>CUETO</t>
  </si>
  <si>
    <t>CONSTRUCTORA MICUET, S.A. DE C.V.</t>
  </si>
  <si>
    <t>CMI0312018W4</t>
  </si>
  <si>
    <t>Obra complementaria para la terminación de la vialidad de concreto hidráulico María Perfecta Llamas de calle Lucio Martínez a Febronio Lara, colonia Villa de Guadalupe, municipio de Zapopan, Jalisco.</t>
  </si>
  <si>
    <t>ALBERTO</t>
  </si>
  <si>
    <t>BAÑUELOS</t>
  </si>
  <si>
    <t>GRIAL CONSTRUCCIONES, S.A. DE C.V.</t>
  </si>
  <si>
    <t>GCO100226SU6</t>
  </si>
  <si>
    <t>Construcción de muro de protección de arroyo pluvial en la colonia Miramar Poniente, municipio de Zapopan, Jalisco.</t>
  </si>
  <si>
    <t xml:space="preserve">Obra complementaria para la pavimentación de Av. Guadalajara con concreto hidráulico tramo 1, en la colonia Nuevo México, municipio de Zapopan, Jalisco. </t>
  </si>
  <si>
    <t>Rehabilitación de canchas de usos múltiples y obra completaría en la escuela primaria Vicente Guerrero, en la colonia Vicente Guerrero, en la primaria Urbana Juan Escutia, en la colonia Paraísos del Colli, en la primaria José María Morelos y Pavón, en la colonia San José del Bajío y en la primaria Gustavo Díaz Ordaz, en la colonia Gustavo Díaz Ordaz, municipio de Zapopan, Jalisco.</t>
  </si>
  <si>
    <t>GUSTAVO</t>
  </si>
  <si>
    <t>DURAN</t>
  </si>
  <si>
    <t>DURAN JIMÉNEZ ARQUITECTOS Y ASOCIADOS, S.A. DE C.V.</t>
  </si>
  <si>
    <t>DJA9405184G7</t>
  </si>
  <si>
    <t>Reforzamiento Complementario de estructuras con lonarias en los planteles educativos: Escuela Primaria Gustavo Díaz Ordaz matricula 14EPR1473U, colonia Gustavo Díaz Ordaz, Escuela Primaria Sor Juana Inés de la Cruz y José Vasconcelos matricula 1026, colonia Jardines del Valle; Escuela Primaria Urbana Juan Escutia 1130 y Agustín Yáñez matricula 916, colonia Paraísos del Colli; Escuela Primaria Vicente Guerrero matricula 854, colonia Vicente Guerrero, municipio de Zapopan, Jalisco.</t>
  </si>
  <si>
    <t xml:space="preserve">RAFAEL </t>
  </si>
  <si>
    <t>OROZCO</t>
  </si>
  <si>
    <t>MARTÍNEZ</t>
  </si>
  <si>
    <t>CEELE CONSTRUCCIONES, S.A. DE C.V.</t>
  </si>
  <si>
    <t>CCO020123366</t>
  </si>
  <si>
    <t>Revestimiento de taludes con concreto lanzado en la calle Juan García de Casiano Torres a Ignacio Espinoza, en la colonia Villa de Guadalupe, municipio de Zapopan, Jalisco.</t>
  </si>
  <si>
    <t>DOPI-FED-FF-PAV-LP-247-2018</t>
  </si>
  <si>
    <t>DOPI-FED-FF-PAV-LP-248-2018</t>
  </si>
  <si>
    <t>DOPI-FED-FF-PAV-LP-249-2018</t>
  </si>
  <si>
    <t>DOPI-FED-FF-PAV-LP-251-2018</t>
  </si>
  <si>
    <t>DOPI-FED-FF-PAV-LP-252-2018</t>
  </si>
  <si>
    <t>DOPI-FED-FF-PAV-LP-254-2018</t>
  </si>
  <si>
    <t>DOPI-MUN-R33-IH-AD-277-2018</t>
  </si>
  <si>
    <t>DOPI-MUN-R33-IH-AD-278-2018</t>
  </si>
  <si>
    <t>DOPI-MUN-R33-IH-AD-280-2018</t>
  </si>
  <si>
    <t>DOPI-MUN-R33-IH-AD-281-2018</t>
  </si>
  <si>
    <t>DOPI-MUN-R33-IH-AD-282-2018</t>
  </si>
  <si>
    <t>DOPI-MUN-R33-IH-AD-283-2018</t>
  </si>
  <si>
    <t>DOPI-MUN-R33-IH-AD-285-2018</t>
  </si>
  <si>
    <t>Ing. Leopoldo de Jesús</t>
  </si>
  <si>
    <t>Mendoza</t>
  </si>
  <si>
    <t>Zamora</t>
  </si>
  <si>
    <t>Ing. Diego Antonio</t>
  </si>
  <si>
    <t>Ing. Luis Erazmo</t>
  </si>
  <si>
    <t>Duran</t>
  </si>
  <si>
    <t>Pavimentación de Av. Xochitl con concreto Hidráulico Etapa 1, de Av. Tepeyac a calle Apatzingán, incluye sustitución de infraestructura hidráulica, infraestructura pluvial, alumbrado público, accesibilidad y forestación, en las Colonias Prados Tepeyac y El Zapote, Municipio de Zapopan, Jalisco.</t>
  </si>
  <si>
    <t>Pavimentación de la calle El Campanario con concreto Hidráulico Etapa 1, de la calle San Antonio a Agua Marina, incluye sustitución de infraestructura hidráulica, infraestructura pluvial, alumbrado público, accesibilidad y forestación, en la colonia El Campanario, Municipio de Zapopan, Jalisco.</t>
  </si>
  <si>
    <t>Pavimentación en Calzada José Guadalupe Gallo con concreto Hidráulico Etapa 1, de calle Puente El Palomar a calle Rosales, Incluye sustitución de infraestructura hidráulica, infraestructura pluvial, alumbrado público, accesibilidad y forestación, en las colonias Agua Blanca, El Campanario y Palmira, Municipio de Zapopan, Jalisco.</t>
  </si>
  <si>
    <t>Pavimentación de la calle Camino Real Mateo de Regil con concreto Hidráulico Etapa 1, de Av. Tepeyac a calle Tlalpan, Incluye sustitución de infraestructura hidráulica, infraestructura pluvial, alumbrado público, accesibilidad y forestación, en las colonias Mariano Otero, Jardines del Ixtépete y El Briseño, Municipio de Zapopan, Jalisco.</t>
  </si>
  <si>
    <t>Pavimentación de la calle Valle de Tesistán con concreto Hidráulico Etapa 1, de calle Bellavista a calle Pino Suarez, Incluye sustitución de infraestructura hidráulica, infraestructura pluvial, alumbrado público, accesibilidad y forestación, en la Localidad de Tesistán, Municipio de Zapopan, Jalisco.</t>
  </si>
  <si>
    <t>Pavimentación de la calle Valle de Tesistán con concreto Hidráulico Etapa 2, de calle Pino Suarez a Av. Juan Gil Preciado, Incluye sustitución de infraestructura hidráulica, infraestructura pluvial, alumbrado público, accesibilidad y forestación, en la Localidad de Tesistán, Municipio de Zapopan, Jalisco.</t>
  </si>
  <si>
    <t>Servicios profesionales, científicos, técnicos y otros servicios: estudios de topografía para diferentes proyectos dentro de las zonas de atención prioritaria del municipio de Zapopan, Jalisco.</t>
  </si>
  <si>
    <t>EMILIO MIGUEL</t>
  </si>
  <si>
    <t>SAENZ</t>
  </si>
  <si>
    <t>CONSTRUCTORA Y SERVICIOS NOVACREA, S.A. DE C.V.</t>
  </si>
  <si>
    <t>CSN150923FGA</t>
  </si>
  <si>
    <t>Servicios profesionales, científicos, técnicos y otros servicios: control de calidad para diferentes obras y proyectos dentro de las zonas de atención prioritaria del municipio de Zapopan, Jalisco.</t>
  </si>
  <si>
    <t>Construcción de red de drenaje sanitario y red de agua potable en calles de la colonia Marcelino García Barragán, municipio de Zapopan, Jalisco.</t>
  </si>
  <si>
    <t>CONSTRUCCIÓNES COVIMEX, S.A. DE C.V.</t>
  </si>
  <si>
    <t>Construcción de red de drenaje sanitario en la colonia Santa Ana Tepatitlán, municipio de Zapopan, Jalisco.</t>
  </si>
  <si>
    <t>Construcción de red de drenaje sanitario en calles   de   la   colonia  El Vergel, municipio de Zapopan, Jalisco.</t>
  </si>
  <si>
    <t>Sustitución de drenaje sanitario en la colonia Benito Juárez, municipio de Zapopan, Jalisco.</t>
  </si>
  <si>
    <t>Construcción de red de drenaje sanitario en la colonia Lomas de la Primavera, municipio de Zapopan, Jalisco, primera etapa, frente 1.</t>
  </si>
  <si>
    <t>Construcción de red de drenaje sanitario en la colonia Lomas de la Primavera, municipio de Zapopan, Jalisco, primera etapa, frente 2.</t>
  </si>
  <si>
    <t>Construcción de red de drenaje sanitario en la colonia Lomas de la Primavera, municipio de Zapopan, Jalisco, primera etapa, frente 3.</t>
  </si>
  <si>
    <t>Colonia Santa Ana Tepetitlán</t>
  </si>
  <si>
    <t>Colonia El Vergel</t>
  </si>
  <si>
    <t>Colonia Benito Juárez</t>
  </si>
  <si>
    <t>Colonia Lomas de la Primavera</t>
  </si>
  <si>
    <t>Colonias Prados Tepeyac y El Zapote</t>
  </si>
  <si>
    <t>JULIO EDUARDO</t>
  </si>
  <si>
    <t>PROYECTOS E INSUMOS INDUSTRIALES JELP, S.A. DE C.V.</t>
  </si>
  <si>
    <t>SERVICIOS METROPOLITANOS DE JALISCO, S.A. DE C.V.</t>
  </si>
  <si>
    <t>SMJ090317FS9</t>
  </si>
  <si>
    <t>Colonias Agua Blanca, El Campanario y Palmira</t>
  </si>
  <si>
    <t>Colonias Mariano Otero, Jardines del Ixtépete y El Briseño</t>
  </si>
  <si>
    <t>GABRIEL</t>
  </si>
  <si>
    <t xml:space="preserve">FRANCO </t>
  </si>
  <si>
    <t>ALATORRE</t>
  </si>
  <si>
    <t>CONSTRUCTORA DE OCCIDENTE MS, S.A. DE C.V.</t>
  </si>
  <si>
    <t>COM141015F48</t>
  </si>
  <si>
    <t xml:space="preserve">ÁNGEL </t>
  </si>
  <si>
    <t>PARTIDA</t>
  </si>
  <si>
    <t>CONSTRUCCIONES CALVEC, S.A. DE C.V.</t>
  </si>
  <si>
    <t>CCA081015II2</t>
  </si>
  <si>
    <t>REGINO</t>
  </si>
  <si>
    <t>RUÍZ DEL CAMPO</t>
  </si>
  <si>
    <t>REGINO RUÍZ DEL CAMPO MEDINA</t>
  </si>
  <si>
    <t>RUMR771116UA8</t>
  </si>
  <si>
    <t xml:space="preserve">RENÉ </t>
  </si>
  <si>
    <t xml:space="preserve"> ROMO </t>
  </si>
  <si>
    <t>MÁRQUEZ</t>
  </si>
  <si>
    <t>ROALDE CONSTRUCCIONES, S.A. DE C.V.</t>
  </si>
  <si>
    <t>RCO090514SK3</t>
  </si>
  <si>
    <t>DOPI-MUN-CUSMAX-EP-CI-270-2018</t>
  </si>
  <si>
    <t>DOPI-MUN-R33-IH-CI-273-2018</t>
  </si>
  <si>
    <t>DOPI-MUN-R33-DS-CI-274-2018</t>
  </si>
  <si>
    <t>DOPI-MUN-R33-DS-CI-275-2018</t>
  </si>
  <si>
    <t>805 M2</t>
  </si>
  <si>
    <t>1005 M</t>
  </si>
  <si>
    <t>650 M2</t>
  </si>
  <si>
    <t>Construcción de Plazoleta sobre Av. Virreyes, Zona Comercial Landmark-Andares, zona Andares, tercera etapa: obra complementaria, semaforización, accesibilidad, bancas, jardineras, mobiliario urbano, iluminación arquitectónica, alumbrado público y arbolado, municipio de Zapopan, Jalisco.</t>
  </si>
  <si>
    <t>Luis German</t>
  </si>
  <si>
    <t xml:space="preserve">Delgadillo </t>
  </si>
  <si>
    <t>Alcazar</t>
  </si>
  <si>
    <t xml:space="preserve">AXIOMA PROYECTOS E INGENIERÍA, 
S.A. DE C.V.
</t>
  </si>
  <si>
    <t>APE111122MI0</t>
  </si>
  <si>
    <t>Construcción de red de agua potable y red de drenaje sanitario en calles de la colonia Villas de Guadalupe, municipio de Zapopan, Jalisco, segunda etapa.</t>
  </si>
  <si>
    <t>GUILLERMO</t>
  </si>
  <si>
    <t>LARA</t>
  </si>
  <si>
    <t>DESARROLLADORA GLAR, S.A. DE C.V.</t>
  </si>
  <si>
    <t>DGL060620SUA</t>
  </si>
  <si>
    <t>Construcción de colector de aguas residuales en la colonia Colinas del Rio, municipio de Zapopan, Jalisco, segunda etapa.</t>
  </si>
  <si>
    <t xml:space="preserve">CASTAÑEDA </t>
  </si>
  <si>
    <t>LACARIERE</t>
  </si>
  <si>
    <t>LACARIERE EDIFICACIONES, S.A. DE C.V.</t>
  </si>
  <si>
    <t>LED091006JG1</t>
  </si>
  <si>
    <t>Rectificación y revestimiento de canal pluvial de calle Manzanos a calle José Gil Aguilar en la colonia Agua Fría, municipio de Zapopan, Jalisco, primera etapa.</t>
  </si>
  <si>
    <t>DOPI-MUN-RM-IM-AD-286-2018</t>
  </si>
  <si>
    <t>DOPI-MUN-RM-IM-AD-287-2018</t>
  </si>
  <si>
    <t>DOPI-MUN-RM-IM-AD-288-2018</t>
  </si>
  <si>
    <t>DOPI-MUN-RM-MOV-AD-289-2018</t>
  </si>
  <si>
    <t>1445 M</t>
  </si>
  <si>
    <t>200 M2</t>
  </si>
  <si>
    <t>Peatonalización (banquetas y obras de accesibilidad) en la Glorieta Chapalita y en la Av. Guadalupe de la Glorieta Chapalita a la Av. Niño Obrero, en la Colonia Chapalita, municipio de Zapopan, Jalisco. Frente 3.</t>
  </si>
  <si>
    <t>GABRIELA CECILIA</t>
  </si>
  <si>
    <t xml:space="preserve">RUÍZ  </t>
  </si>
  <si>
    <t>CONSTRUCTORA TGV, S.A. DE C.V.</t>
  </si>
  <si>
    <t>CTG070803966</t>
  </si>
  <si>
    <t>Peatonalización (banquetas y obras de accesibilidad) en la Glorieta Chapalita y en la Av. Guadalupe de la Glorieta Chapalita a la Av. Niño Obrero, en la Colonia Chapalita, municipio de Zapopan, Jalisco. Frente 4.</t>
  </si>
  <si>
    <t>GUSTAVO ALEJANDRO</t>
  </si>
  <si>
    <t>LEDEZMA</t>
  </si>
  <si>
    <t xml:space="preserve"> CERVANTES</t>
  </si>
  <si>
    <t>EDIFICACIONES Y PROYECTOS ROCA, S.A. DE C.V.</t>
  </si>
  <si>
    <t>EPR131016I71</t>
  </si>
  <si>
    <t>Instalaciones eléctricas, pluviales, equipamiento, áreas verdes y señalamiento horizontal y vertical en la Glorieta Chapalita y en la Av. Guadalupe de la Glorieta Chapalita a la Av. Niño Obrero, en la Colonia Chapalita, municipio de Zapopan.</t>
  </si>
  <si>
    <t>MERCADO</t>
  </si>
  <si>
    <t>ANITSUJ, S.A. DE C.V.</t>
  </si>
  <si>
    <t>ANI1102217W2</t>
  </si>
  <si>
    <t>Construcción de reductores de velocidad y rampas de acceso en la Glorieta Chapalita y en la Av. Guadalupe de la Glorieta Chapalita a la Av. Niño Obrero, en la Colonia Chapalita, municipio de Zapopan, Jalisco.</t>
  </si>
  <si>
    <t>Concurso por Invitación</t>
  </si>
  <si>
    <t>https://www.zapopan.gob.mx/repositorio/view/file/t49boidsuzcmganfhcis/CONTRATO_180-18_Censurado.pdf</t>
  </si>
  <si>
    <t>https://www.zapopan.gob.mx/repositorio/view/file/ltrquzhlvuddxc8ejori/CONTRATO _63-18_Censuarado.pdf</t>
  </si>
  <si>
    <t>https://www.zapopan.gob.mx/repositorio/view/file/oly3zaqesmmgqgtq4ece/CONTRATO_90-18_Censurado.pdf</t>
  </si>
  <si>
    <t>https://www.zapopan.gob.mx/repositorio/view/file/hsomsvct22u3sz7p3twx/CONTRATO_94-18_Censurado.pdf</t>
  </si>
  <si>
    <t>https://www.zapopan.gob.mx/repositorio/view/file/xzuca2ip7gdq1lmhl0ed/CONTRATO_102-18_Censurado.pdf</t>
  </si>
  <si>
    <t>https://www.zapopan.gob.mx/repositorio/view/file/2dqwiy0n5eshos9b9kio/CONTRATO_104-18_Censurado.pdf</t>
  </si>
  <si>
    <t>https://www.zapopan.gob.mx/repositorio/view/file/jirlojtddyd6gpbzngs8/Contrato_192-18_Censurado.pdf</t>
  </si>
  <si>
    <t>https://www.zapopan.gob.mx/repositorio/view/file/3rkan1eykn07euughp2q/Contrato_193-18_Censurado.pdf</t>
  </si>
  <si>
    <t>https://www.zapopan.gob.mx/repositorio/view/file/metdwjxyibqhqhp9r4ok/Contrato_194-18_Censurado.pdf</t>
  </si>
  <si>
    <t>https://www.zapopan.gob.mx/repositorio/view/file/sy8c2izsebiiyf982m5m/Contrato_195-18_Censurado.pdf</t>
  </si>
  <si>
    <t>https://www.zapopan.gob.mx/repositorio/view/file/bi1068z7y7okjxmuatku/Contrato_197-18_Censurado.pdf</t>
  </si>
  <si>
    <t>https://www.zapopan.gob.mx/repositorio/view/file/yh30krxphqnlsqaanpqs/Contrato_199-18_Censurado.pdf</t>
  </si>
  <si>
    <t>https://www.zapopan.gob.mx/repositorio/view/file/xcssraxh63va5aucrvyq/Contrato_200-18_Censurado.pdf</t>
  </si>
  <si>
    <t>https://www.zapopan.gob.mx/repositorio/view/file/gdrca9ednhnv9lokcxfq/Contrato_201-18_Censurado.pdf</t>
  </si>
  <si>
    <t>https://www.zapopan.gob.mx/repositorio/view/file/lnx8v1iomttmwdubweaw/Contrato_203-18_Censurado.pdf</t>
  </si>
  <si>
    <t>https://www.zapopan.gob.mx/repositorio/view/file/4pud7mytyybxp2wanxvv/CONTRATO_207-18_Censurado.pdf</t>
  </si>
  <si>
    <t>https://www.zapopan.gob.mx/repositorio/view/file/1opgkh3l595hhgjsyaim/Contrato 248-18_Censurado.pdf</t>
  </si>
  <si>
    <t>https://www.zapopan.gob.mx/repositorio/view/file/tmzsmjdbqmkgytrd59qp/CONTRATO_005-17_Censurado.pdf</t>
  </si>
  <si>
    <t>https://www.zapopan.gob.mx/repositorio/view/file/4u9vgjnvfysfhljlwpx3/CONTRATO_015-17_Censurado.pdf</t>
  </si>
  <si>
    <t>https://www.zapopan.gob.mx/repositorio/view/file/stsn4mssat442cc3pqex/CONTRATO_022-17_Censurado.pdf</t>
  </si>
  <si>
    <t>https://www.zapopan.gob.mx/repositorio/view/file/jfj9ydeohfvt0kfmudfu/CONTRATO_035-17_Censurado.pdf</t>
  </si>
  <si>
    <t>https://www.zapopan.gob.mx/repositorio/view/file/24v4tht4mqxyv00jc0ah/CONTRATO 058-2017_Censurado.pdf</t>
  </si>
  <si>
    <t>https://www.zapopan.gob.mx/repositorio/view/file/ynhlulcjrpfm7ngpd8t0/CONTRATO_060-17_Censurado.pdf</t>
  </si>
  <si>
    <t>https://www.zapopan.gob.mx/repositorio/view/file/t51qhezqxeuvckyh1tma/CONTRATO_072-17_Censurado.pdf</t>
  </si>
  <si>
    <t>https://www.zapopan.gob.mx/repositorio/view/file/txcbbfidajj80yedomog/CONTRATO_074-17_Censurado.pdf</t>
  </si>
  <si>
    <t>https://www.zapopan.gob.mx/repositorio/view/file/8lbtu7d9ogfspsl4sczc/CONTRATO_120-17_Censurado.pdf</t>
  </si>
  <si>
    <t>https://www.zapopan.gob.mx/repositorio/view/file/glqkkov0xudyfs8mzqvh/CONTRATO_122-17_Censurado.pdf</t>
  </si>
  <si>
    <t>https://www.zapopan.gob.mx/repositorio/view/file/yqklgtxhtp6iylbhgdyp/CONTRATO_130-17_Censurado.pdf</t>
  </si>
  <si>
    <t>https://www.zapopan.gob.mx/repositorio/view/file/wz6i2dht2gxvgsh9euqs/CONTRATO_137-17_Censurado.pdf</t>
  </si>
  <si>
    <t>https://www.zapopan.gob.mx/repositorio/view/file/jkbwuwhejd3iwtvs95fs/CONTRATO_212-17_Censurado.pdf</t>
  </si>
  <si>
    <t>https://www.zapopan.gob.mx/repositorio/view/file/h0evjxerhdnrdfonmdfb/CONTRATO_244-17_Censurado.pdf</t>
  </si>
  <si>
    <t>https://www.zapopan.gob.mx/repositorio/view/file/c7i8um9x0vsabvoih5en/CONTRATO_276-17_Censurado.pdf</t>
  </si>
  <si>
    <t>https://www.zapopan.gob.mx/repositorio/view/file/mdfmkgr0mdiszw4sr9sk/CONTRATO_278-17_Censurado.pdf</t>
  </si>
  <si>
    <t>https://www.zapopan.gob.mx/repositorio/view/file/xtfbobkicpvs3jmxzk3o/CONTRATO_279-17IN_Censurado.pdf</t>
  </si>
  <si>
    <t>https://www.zapopan.gob.mx/repositorio/view/file/anuurddubuvkfi2dzsy4/CONTRATO_326-17_Censurado.pdf</t>
  </si>
  <si>
    <t>https://www.zapopan.gob.mx/repositorio/view/file/m95xuxv1jf9d0paluihn/CONTRATO_336-17_Censurado.pdf</t>
  </si>
  <si>
    <t>https://www.zapopan.gob.mx/repositorio/view/file/ieasl2ex3wjz9v6dltfz/CONTRATO_340-17_Censurado.pdf</t>
  </si>
  <si>
    <t>https://www.zapopan.gob.mx/repositorio/view/file/3hbqyd3bmwxbzvakifo5/CONTRATO_343-17_Censurado.pdf</t>
  </si>
  <si>
    <t>https://www.zapopan.gob.mx/repositorio/view/file/gj0wzxkcoq2fnhrw8ce0/CONTRATO%20AD%20344%202017_Censurado.pdf</t>
  </si>
  <si>
    <t>https://www.zapopan.gob.mx/repositorio/view/file/ma9zjjo4grntprjas5ff/CONTRATO_345-17_Censurado.pdf</t>
  </si>
  <si>
    <t>https://www.zapopan.gob.mx/repositorio/view/file/gjo49ntysrtwcoyff9ms/CONTRATO_350-17_Censurado.pdf</t>
  </si>
  <si>
    <t>https://www.zapopan.gob.mx/repositorio/view/file/7vwcbbkizasei97ixcai/CONTRATO_354-17_Censurado.pdf</t>
  </si>
  <si>
    <t>https://www.zapopan.gob.mx/repositorio/view/file/uv2nylhpaev5elxbhdho/CONTRATO_355-17_Censurado.pdf</t>
  </si>
  <si>
    <t>https://www.zapopan.gob.mx/repositorio/view/file/bsfs6psojomvdeqjabwe/CONTRATO_356-17_Censurado.pdf</t>
  </si>
  <si>
    <t>https://www.zapopan.gob.mx/repositorio/view/file/lrszdb2ymiayfi76cppo/CONTRATO_357-17_Censurado.pdf</t>
  </si>
  <si>
    <t>https://www.zapopan.gob.mx/repositorio/view/file/xz9ob8taxyrtolrv2sfq/CONTRATO_358-17_Censurado.pdf</t>
  </si>
  <si>
    <t>https://www.zapopan.gob.mx/repositorio/view/file/bva7i6dpmk0yaip8qt3r/CONTRATO_360-17_Censurado.pdf</t>
  </si>
  <si>
    <t>https://www.zapopan.gob.mx/repositorio/view/file/ubdeumfqnq6vhxiozmsk/CONTRATO_361-17_Censurado.pdf</t>
  </si>
  <si>
    <t>https://www.zapopan.gob.mx/repositorio/view/file/elkhr69sfmwmuvdrbudw/CONTRATO_362-17_Censurado.pdf</t>
  </si>
  <si>
    <t>https://www.zapopan.gob.mx/repositorio/view/file/hhmji64dsgjhurvxwnl2/CONTRATO_363-17_Censurado.pdf</t>
  </si>
  <si>
    <t>https://www.zapopan.gob.mx/repositorio/view/file/4jq5enf8fn38azsveyui/CONTRATO_364-17_Censurado.pdf</t>
  </si>
  <si>
    <t>https://www.zapopan.gob.mx/repositorio/view/file/vdttaevwtpq8ghyet4h4/CONTRATO_366-17_Censurado.pdf</t>
  </si>
  <si>
    <t>https://www.zapopan.gob.mx/repositorio/view/file/1sns0ygf4ojpxwir6ghi/CONTRATO_369-17_Censurado.pdf</t>
  </si>
  <si>
    <t>https://www.zapopan.gob.mx/repositorio/view/file/hjt6fvu9t0rijjcbo4ov/CONTRATO_370-17_Censurado.pdf</t>
  </si>
  <si>
    <t>https://www.zapopan.gob.mx/repositorio/view/file/esajwkdbxrpu93srmr7j/CONTRATO_371-17_Censurado.pdf</t>
  </si>
  <si>
    <t>https://www.zapopan.gob.mx/repositorio/view/file/adqdweyino6c8qworc3m/CONTRATO_372-17_Censurado.pdf</t>
  </si>
  <si>
    <t>https://www.zapopan.gob.mx/repositorio/view/file/mbme1tsme0y4e9dzwx5j/CONTRATO_373-17_Censurado.pdf</t>
  </si>
  <si>
    <t>https://www.zapopan.gob.mx/repositorio/view/file/wjvrh289pdyzsc0iejic/CONTRATO_374-17_Censurado.pdf</t>
  </si>
  <si>
    <t>https://www.zapopan.gob.mx/repositorio/view/file/grksovga9zrx3c4l8145/CONTRATO_375-17_Censurado.pdf</t>
  </si>
  <si>
    <t>https://www.zapopan.gob.mx/repositorio/view/file/cascea2uyjck2j3cqhyo/CONTRATO_376-17_Censurado.pdf</t>
  </si>
  <si>
    <t>https://www.zapopan.gob.mx/repositorio/view/file/wzzrcrpagkblctb3dmas/CONTRATO_378-17_Censurado.pdf</t>
  </si>
  <si>
    <t>https://www.zapopan.gob.mx/repositorio/view/file/rju9ez2uxzapglsa5keq/CONTRATO%20AD%20380%202017_Censurado.pdf</t>
  </si>
  <si>
    <t>Colonia Parques de Zapopan</t>
  </si>
  <si>
    <t>https://www.zapopan.gob.mx/repositorio/view/file/1vlrumbktqtifih61kad/CONTRATO%20001%202018_Censurado.pdf</t>
  </si>
  <si>
    <t>https://www.zapopan.gob.mx/repositorio/view/file/m5yfhdd5a8kmwba3jgtw/CONTRATO%20002-2018_Censurado.pdf</t>
  </si>
  <si>
    <t>https://www.zapopan.gob.mx/repositorio/view/file/nzeqbdgnvfv4eigthg7a/CONTRATO%20003-2018_Censurado.pdf</t>
  </si>
  <si>
    <t>https://www.zapopan.gob.mx/repositorio/view/file/4kjijyhoizdyrsujwt5p/CONTRATO%20004-2018_Censurado.pdf</t>
  </si>
  <si>
    <t>https://www.zapopan.gob.mx/repositorio/view/file/pnpwdmpcpw9nts9h8tb7/CONTRATO%20005-2018_Censurado.pdf</t>
  </si>
  <si>
    <t>https://www.zapopan.gob.mx/repositorio/view/file/o1chjhsidtuarajkj0ty/CONTRATO_006-18_Censurado.pdf</t>
  </si>
  <si>
    <t>https://www.zapopan.gob.mx/repositorio/view/file/qmqxgcynwia2zgjjmytz/CONTRATO_007-18_Censurado.pdf</t>
  </si>
  <si>
    <t>https://www.zapopan.gob.mx/repositorio/view/file/uds7vpggojmn3pl0topi/CONTRATO_008-18_Censurado.pdf</t>
  </si>
  <si>
    <t>https://www.zapopan.gob.mx/repositorio/view/file/chqovl1ithj4ngklh9ob/CONTRATO_009-18_Censurado.pdf</t>
  </si>
  <si>
    <t>https://www.zapopan.gob.mx/repositorio/view/file/geiwgsdtwt5khv6bxgqu/CONTRATO_010-18_Censurado.pdf</t>
  </si>
  <si>
    <t>https://www.zapopan.gob.mx/repositorio/view/file/eijeryeoshbsk5xmq4vl/CONTRATO_011-18_Censurado.pdf</t>
  </si>
  <si>
    <t>https://www.zapopan.gob.mx/repositorio/view/file/zokhfjcfs7lngn2ximxn/CONTRATO_012-18_Censurado.pdf</t>
  </si>
  <si>
    <t>https://www.zapopan.gob.mx/repositorio/view/file/olimityq7jyvyfpdoumv/CONTRATO%20013-2018_Censurado.pdf</t>
  </si>
  <si>
    <t>https://www.zapopan.gob.mx/repositorio/view/file/vh6pc43xjuyiu8l73qks/CONTRATO%20014-2018_Censurado.pdf</t>
  </si>
  <si>
    <t>https://www.zapopan.gob.mx/repositorio/view/file/vyqycvuk3mztesqakopl/CONTRATO%20015-2018_Censurado.pdf</t>
  </si>
  <si>
    <t>https://www.zapopan.gob.mx/repositorio/view/file/bu4oequ2lnuzj8wmt3rr/CONTRATO%20016-2018_Censurado.pdf</t>
  </si>
  <si>
    <t>https://www.zapopan.gob.mx/repositorio/view/file/8z5uzcl8to1a2iog3opx/CONTRATO%20017-2018_Censurado.pdf</t>
  </si>
  <si>
    <t>https://www.zapopan.gob.mx/repositorio/view/file/r6ubassqz0ku008tt2td/CONTRATO%20018-2018_Censurado.pdf</t>
  </si>
  <si>
    <t>https://www.zapopan.gob.mx/repositorio/view/file/0oitp2rxhb21vwx6q5nf/CONTRATO_019_18_Censurado.pdf</t>
  </si>
  <si>
    <t>https://www.zapopan.gob.mx/repositorio/view/file/indmsuqnvk0qkjitgdjy/CONTRATO_020-18_Censurado.pdf</t>
  </si>
  <si>
    <t>https://www.zapopan.gob.mx/repositorio/view/file/ldhc7azpr3jxpdb4ntpm/CONTRATO%20021-2018_Censurado.pdf</t>
  </si>
  <si>
    <t>https://www.zapopan.gob.mx/repositorio/view/file/rsnahe9ovvgvorj5lbt1/CONTRATO_106-18_Censurado.pdf</t>
  </si>
  <si>
    <t>https://www.zapopan.gob.mx/repositorio/view/file/kba2odlaxm8kw07n8uco/CONTRATO_107-18_Censurado.pdf</t>
  </si>
  <si>
    <t>https://www.zapopan.gob.mx/repositorio/view/file/2xulffn0kpeoc2pidifc/CONTRATO_108-18_Censurado.pdf</t>
  </si>
  <si>
    <t>https://www.zapopan.gob.mx/repositorio/view/file/pjgcp4acc9nqz8i4x2pb/CONTRATO%20109-2018_Censurado.pdf</t>
  </si>
  <si>
    <t>https://www.zapopan.gob.mx/repositorio/view/file/bj3fmtlrf3hofdcuxssw/CONTRATO%20110-2018_Censurado.pdf</t>
  </si>
  <si>
    <t>https://www.zapopan.gob.mx/repositorio/view/file/klgmbpyd1kg9derldqjy/CONTRATO_111-18_Censurado.pdf</t>
  </si>
  <si>
    <t>https://www.zapopan.gob.mx/repositorio/view/file/tghfmrrv3o7bzjpe2qzd/CONTRATO_112-18_Censurado.pdf</t>
  </si>
  <si>
    <t>https://www.zapopan.gob.mx/repositorio/view/file/jpzoslgpyuqxzal4ydeu/CONTRATO_113-18_Censurado.pdf</t>
  </si>
  <si>
    <t>https://www.zapopan.gob.mx/repositorio/view/file/yk8o45kw3sufji71lv6t/CONTRATO_114-18_Censurado.pdf</t>
  </si>
  <si>
    <t>https://www.zapopan.gob.mx/repositorio/view/file/lu98e2ve1wl7vjnwr5xf/CONTRATO_115-18_Censurado.pdf</t>
  </si>
  <si>
    <t>https://www.zapopan.gob.mx/repositorio/view/file/fkmp4h9l7rccakd7j0sd/CONTRATO_116-18_Censurado.pdf</t>
  </si>
  <si>
    <t>https://www.zapopan.gob.mx/repositorio/view/file/6qoop81ykprxlhqad9mm/CONTRATO_117-18_Censurado.pdf</t>
  </si>
  <si>
    <t>https://www.zapopan.gob.mx/repositorio/view/file/tendthztus9zflltpqwh/CONTRATO_118-18_Censurado.pdf</t>
  </si>
  <si>
    <t>https://www.zapopan.gob.mx/repositorio/view/file/00ixmksaisur29ydhei6/CONTRATO_119-18_Censurado.pdf</t>
  </si>
  <si>
    <t>https://www.zapopan.gob.mx/repositorio/view/file/ayooj32fx1nhurjfyj43/CONTRATO%20120-2018_Censurado.pdf</t>
  </si>
  <si>
    <t>https://www.zapopan.gob.mx/repositorio/view/file/t9yt8prqtctc2ppauepk/CONTRATO_121-18_Censurado.pdf</t>
  </si>
  <si>
    <t>https://www.zapopan.gob.mx/repositorio/view/file/t5x66futise8nfqo1hm6/CONTRATO_122-18_Censurado.pdf</t>
  </si>
  <si>
    <t>https://www.zapopan.gob.mx/repositorio/view/file/lo10ubw1xs4hcwfkaly2/CONTRATO%20123-2018_Censurado.pdf</t>
  </si>
  <si>
    <t>https://www.zapopan.gob.mx/repositorio/view/file/37bgdypqhwi5qtp6fkwh/CONTRATO_124-18_Censurado.pdf</t>
  </si>
  <si>
    <t>https://www.zapopan.gob.mx/repositorio/view/file/cgwmvzhx8dngcgc4nc8e/CONTRATO_125-18_Censurado.pdf</t>
  </si>
  <si>
    <t>https://www.zapopan.gob.mx/repositorio/view/file/ytgqxueaqytkxb6ceprq/CONTRATO_126-18_Censurado.pdf</t>
  </si>
  <si>
    <t>https://www.zapopan.gob.mx/repositorio/view/file/z3tbcsu4csyyrccsozn2/CONTRATO_128-18_Censurado.pdf</t>
  </si>
  <si>
    <t>https://www.zapopan.gob.mx/repositorio/view/file/uzjww5dzabdu2fglfgqx/CONTRATO_129-18_Censurado.pdf</t>
  </si>
  <si>
    <t>https://www.zapopan.gob.mx/repositorio/view/file/liqjsjot0axchwu8nrki/CONTRATO_130-18_Censurado.pdf</t>
  </si>
  <si>
    <t>https://www.zapopan.gob.mx/repositorio/view/file/owm4nnnuto1ul3hnkctc/CONTRATO_131-18_Censurado.pdf</t>
  </si>
  <si>
    <t>https://www.zapopan.gob.mx/repositorio/view/file/6mrz3zm5xijmocng6aop/CONTRATO_132-18_Censurado.pdf</t>
  </si>
  <si>
    <t>https://www.zapopan.gob.mx/repositorio/view/file/lzke3x672hqahaa2imv8/CONTRATO 133-2018_Censurado.pdf</t>
  </si>
  <si>
    <t>https://www.zapopan.gob.mx/repositorio/view/file/yua2fcz1mqhlesdx2cxk/CONTRATO_134-18_Censurado.pdf</t>
  </si>
  <si>
    <t>https://www.zapopan.gob.mx/repositorio/view/file/r9bejveko8hinnewtz6n/CONTRATO_135-18_Censurado.pdf</t>
  </si>
  <si>
    <t>https://www.zapopan.gob.mx/repositorio/view/file/xsiojysskvelnzpsvqde/CONTRATO 136-2018-CENSURADO.pdf</t>
  </si>
  <si>
    <t>https://www.zapopan.gob.mx/repositorio/view/file/4zxlfydjglzrkm9qactx/CONTRATO%20137-2018-CENSURADO.pdf</t>
  </si>
  <si>
    <t>https://www.zapopan.gob.mx/repositorio/view/file/mh8qhsrs9gefagndaxup/CONTRATO_138-18_CENSURADO.pdf</t>
  </si>
  <si>
    <t>https://www.zapopan.gob.mx/repositorio/view/file/h1mlbvs7zzlrfe7xqwuo/CONTRATO 139-2018-CENSURADO.pdf</t>
  </si>
  <si>
    <t>https://www.zapopan.gob.mx/repositorio/view/file/vse5akcpen4lcvxfdvgi/CONTRATO%20140-2018-CENSURADO.pdf</t>
  </si>
  <si>
    <t>https://www.zapopan.gob.mx/repositorio/view/file/2gjv0nynxbirmdvdh7iy/CONTRATO%20141-2018-CENSURADO.pdf</t>
  </si>
  <si>
    <t>https://www.zapopan.gob.mx/repositorio/view/file/tx46yeyirginrt4qhgwg/CONTRATO%20151-2018_Censurado.pdf</t>
  </si>
  <si>
    <t>https://www.zapopan.gob.mx/repositorio/view/file/fmvbprjddwu55xswwbiy/CONTRATO%20152-2018_Censurado.pdf</t>
  </si>
  <si>
    <t>https://www.zapopan.gob.mx/repositorio/view/file/a5utnf3q07bhv5tavfid/CONTRATO%20153-2018_Censurado.pdf</t>
  </si>
  <si>
    <t>https://www.zapopan.gob.mx/repositorio/view/file/finpbmbtwlwjhqgbjkt0/CONTRATO%20154-2018_Censurado.pdf</t>
  </si>
  <si>
    <t>https://www.zapopan.gob.mx/repositorio/view/file/nihwbg0gpnszp2cec0ck/CONTRATO%20155-2018_Censurado.pdf</t>
  </si>
  <si>
    <t>https://www.zapopan.gob.mx/repositorio/view/file/wkez4fraoqoocjobwugq/CONTRATO%20156-2018_Censurado.pdf</t>
  </si>
  <si>
    <t>https://www.zapopan.gob.mx/repositorio/view/file/t99cmqwn58ubgp2jdbvm/CONTRATO%20158-2018_Censurado.pdf</t>
  </si>
  <si>
    <t>https://www.zapopan.gob.mx/repositorio/view/file/p8njlccdainqajcraheo/CONTRATO%20159-2018_Censurado.pdf</t>
  </si>
  <si>
    <t>https://www.zapopan.gob.mx/repositorio/view/file/gtnt0rx00natcrkuwkrc/CONTRATO%20160-2018_Censurado.pdf</t>
  </si>
  <si>
    <t>https://www.zapopan.gob.mx/repositorio/view/file/mnj2st8ycmadmal09u7t/CONTRATO%20161-2018_Censurado.pdf</t>
  </si>
  <si>
    <t>https://www.zapopan.gob.mx/repositorio/view/file/gslf22yyetqln8oqemo1/CONTRATO_163-18_Censurado.pdf</t>
  </si>
  <si>
    <t>https://www.zapopan.gob.mx/repositorio/view/file/8co9bs9qw41imeaozx1z/CONTRATO%20164-2018_Censurado.pdf</t>
  </si>
  <si>
    <t>https://www.zapopan.gob.mx/repositorio/view/file/duqgxeanfkleqjfnvtzj/CONTRATO%20165-2018_Censurado.pdf</t>
  </si>
  <si>
    <t>https://www.zapopan.gob.mx/repositorio/view/file/xzfopjrmgsro1ys7ezko/CONTRATO%20166-2018_Censurado.pdf</t>
  </si>
  <si>
    <t>https://www.zapopan.gob.mx/repositorio/view/file/0jxktd26blguhyob5xbw/CONTRATO%20167-2018_Censurado.pdf</t>
  </si>
  <si>
    <t>https://www.zapopan.gob.mx/repositorio/view/file/nudjxhnbqkhe6yolc29t/CONTRATO%20AD%20178%202018_Redacted.pdf</t>
  </si>
  <si>
    <t>https://www.zapopan.gob.mx/repositorio/view/file/z8kge3ede9aktcrpmqfo/CONTRATO%20AD-179-2018_Redacted.pdf</t>
  </si>
  <si>
    <t>https://www.zapopan.gob.mx/repositorio/view/file/9axglrji8clhgtmjo49b/CONTRATO_183-18_Censurado.pdf</t>
  </si>
  <si>
    <t>https://www.zapopan.gob.mx/repositorio/view/file/c81xmccyzk9cvzf9cs6u/CONTRATO_184-18_Censurado.pdf</t>
  </si>
  <si>
    <t>https://www.zapopan.gob.mx/repositorio/view/file/92ihi8frfjvbjreoc74m/CONTRATO_185-18_Censurado.pdf</t>
  </si>
  <si>
    <t>https://www.zapopan.gob.mx/repositorio/view/file/6snmw1gbtzekowbugqqz/CONTRATO_186-18_Censurado.pdf</t>
  </si>
  <si>
    <t>https://www.zapopan.gob.mx/repositorio/view/file/0j7byxlcetk0rrjzivxg/CONTRATO_187-18_Censurado.pdf</t>
  </si>
  <si>
    <t>https://www.zapopan.gob.mx/repositorio/view/file/ocainynm9qpujx7v71iq/CONTRATO_208-18_Censurado.pdf</t>
  </si>
  <si>
    <t>https://www.zapopan.gob.mx/repositorio/view/file/jrm8cq3ukodgkmatuzxf/CONTRATO_210-18_Censurado.pdf</t>
  </si>
  <si>
    <t>https://www.zapopan.gob.mx/repositorio/view/file/uxdzyht3aguylr6pyvo4/CONTRATO_212-18_Censurado.pdf</t>
  </si>
  <si>
    <t>https://www.zapopan.gob.mx/repositorio/view/file/z731rpjj0m1xb1nqs647/CONTRATO_213-18_Censurado.pdf</t>
  </si>
  <si>
    <t>https://www.zapopan.gob.mx/repositorio/view/file/3afi6z8w6lxoeiv2komi/CONTRATO_214-18_Censurado.pdf</t>
  </si>
  <si>
    <t>https://www.zapopan.gob.mx/repositorio/view/file/252qnqazqlxzzgpe5vam/CONTRATO_217-18_Censurado.pdf</t>
  </si>
  <si>
    <t>https://www.zapopan.gob.mx/repositorio/view/file/i6vhbnjbz70tq0ppmtr2/CONTRATO_221-18_Censurado.pdf</t>
  </si>
  <si>
    <t>https://www.zapopan.gob.mx/repositorio/view/file/rdvmnx4towhbje0caofs/CONTRATO_222-18_Censurado.pdf</t>
  </si>
  <si>
    <t>https://www.zapopan.gob.mx/repositorio/view/file/vr5pfyzuknfkp2ieq3wd/CONTRATO_223-18_Censurado.pdf</t>
  </si>
  <si>
    <t>https://www.zapopan.gob.mx/repositorio/view/file/xkqe1hmreykb1xjd172z/CONTRATO_227-18_Censurado.pdf</t>
  </si>
  <si>
    <t>https://www.zapopan.gob.mx/repositorio/view/file/emssn1njzgnumwhilck9/CONTRATO_228-18_Censurado.pdf</t>
  </si>
  <si>
    <t>https://www.zapopan.gob.mx/repositorio/view/file/xdiisckrvqhkwfcbfey2/CONTRATO_229-18_Censurado.pdf</t>
  </si>
  <si>
    <t>https://www.zapopan.gob.mx/repositorio/view/file/kl1dhanehko3ijedez0w/CONTRATO_230-18_Censurado.pdf</t>
  </si>
  <si>
    <t>https://www.zapopan.gob.mx/repositorio/view/file/vubbjvcyndue4cikrnbp/CONTRATO_235-18_Censurado.pdf</t>
  </si>
  <si>
    <t>https://www.zapopan.gob.mx/repositorio/view/file/pfieiarm8w87rkj8m636/CONTRATO_239-18_Censurado.pdf</t>
  </si>
  <si>
    <t>https://www.zapopan.gob.mx/repositorio/view/file/o1xkpespsqvx1wzrz6sa/CONTRATO_277-18_Censurado.pdf</t>
  </si>
  <si>
    <t>https://www.zapopan.gob.mx/repositorio/view/file/ckj2dtqajmjmq0kw1nx8/CONTRATO_278-18_Censurado.pdf</t>
  </si>
  <si>
    <t>https://www.zapopan.gob.mx/repositorio/view/file/6wzdeqtod2na4z5kjoqf/CONTRATO_280-18_Censurado.pdf</t>
  </si>
  <si>
    <t>https://www.zapopan.gob.mx/repositorio/view/file/gjsydmayaawvj399gzn2/CONTRATO_281-18_Censurado.pdf</t>
  </si>
  <si>
    <t>https://www.zapopan.gob.mx/repositorio/view/file/t9hcks0tvxrsee18bnnk/CONTRATO_282-18_Censurado.pdf</t>
  </si>
  <si>
    <t>https://www.zapopan.gob.mx/repositorio/view/file/uc8ebn1c7ra5d8vyjhrw/CONTRATO_283-18_Censurado.pdf</t>
  </si>
  <si>
    <t>https://www.zapopan.gob.mx/repositorio/view/file/avdo2srauk7u81iu9ovx/CONTRATO_285-18_Censurado.pdf</t>
  </si>
  <si>
    <t>DOPI-MUN-RM-IH-AD-015-2018</t>
  </si>
  <si>
    <t>Solo en caso de haberse generado convenio modificatorio se advertirá hipervínculo en la presente columna.</t>
  </si>
  <si>
    <t>https://www.zapopan.gob.mx/repositorio/view/file/vpp06bjg0g6ivvopashn/CONTRATO 022-2018_Censurado.pdf</t>
  </si>
  <si>
    <t>https://www.zapopan.gob.mx/repositorio/view/file/dgegqk5dh1sorvrouoy7/CONTRATO 023-2018_Censurado.pdf</t>
  </si>
  <si>
    <t>https://www.zapopan.gob.mx/repositorio/view/file/s6kcd69e4dd7v5yxy2if/CONTRATO 024-2018_Censurado.pdf</t>
  </si>
  <si>
    <t>https://www.zapopan.gob.mx/repositorio/view/file/ejxvavvc6yv622nuudkg/CONTRATO 026-2018_Censurado.pdf</t>
  </si>
  <si>
    <t>https://www.zapopan.gob.mx/repositorio/view/file/ligq5mthkqbnogulsrd2/CONTRATO 027-2018_Censurado.pdf</t>
  </si>
  <si>
    <t>https://www.zapopan.gob.mx/repositorio/view/file/giwvosuizvbxbseustwu/CONTRATO_028-18_Censurado.pdf</t>
  </si>
  <si>
    <t>https://www.zapopan.gob.mx/repositorio/view/file/uwycinlcukk66lfoikix/CONTRATO_029-18_Censurado.pdf</t>
  </si>
  <si>
    <t>https://www.zapopan.gob.mx/repositorio/view/file/cdhc0kazgmk7jb21j9wy/CONTRATO_030-18_Censurado.pdf</t>
  </si>
  <si>
    <t>https://www.zapopan.gob.mx/repositorio/view/file/njox9nzqmmmf5qhvzxny/CONTRATO_031-18_Censurado.pdf</t>
  </si>
  <si>
    <t>https://www.zapopan.gob.mx/repositorio/view/file/tnrypwxupuutn5mokuis/CONTRATO_032-18_Censurado.pdf</t>
  </si>
  <si>
    <t>https://www.zapopan.gob.mx/repositorio/view/file/hleah8qmnd1hmzpcfjv1/CONTRATO 033-2018_Censurado.pdf</t>
  </si>
  <si>
    <t>https://www.zapopan.gob.mx/repositorio/view/file/gopo1svtepmu3bi2cbiv/CONTRATO_034-18_Censurado.pdf</t>
  </si>
  <si>
    <t>https://www.zapopan.gob.mx/repositorio/view/file/owccd1rksfqhjvavtj79/CONTRATO_035-18_Censurado.pdf</t>
  </si>
  <si>
    <t>https://www.zapopan.gob.mx/repositorio/view/file/hbkridjhyfr7j3nyfprq/CONTRATO_037-18_Censurado.pdf</t>
  </si>
  <si>
    <t>https://www.zapopan.gob.mx/repositorio/view/file/iigtdikysex5whdchqjw/CONTRATO_038-18_Censurado.pdf</t>
  </si>
  <si>
    <t>https://www.zapopan.gob.mx/repositorio/view/file/vjinr89rtpjvogwkspca/CONTRATO_039-18_Censurado.pdf</t>
  </si>
  <si>
    <t>https://www.zapopan.gob.mx/repositorio/view/file/a38yljl7ggeldwbg5hbq/CONTRATO_040-18_Censurado.pdf</t>
  </si>
  <si>
    <t>https://www.zapopan.gob.mx/repositorio/view/file/vbdhypf0bmy4xfivtoem/CONTRATO_041-18_Censurado.pdf</t>
  </si>
  <si>
    <t>https://www.zapopan.gob.mx/repositorio/view/file/ojgnagcfblh4ww2z38wj/CONTRATO_042-18_Censurado.pdf</t>
  </si>
  <si>
    <t>https://www.zapopan.gob.mx/repositorio/view/file/7tc42sofbhmdviwopssc/CONTRATO_043-18_Censurado.pdf</t>
  </si>
  <si>
    <t>https://www.zapopan.gob.mx/repositorio/view/file/7fc7ouobz3r1fbmmsthk/CONTRATO_044-18_Censurado.pdf</t>
  </si>
  <si>
    <t>https://www.zapopan.gob.mx/repositorio/view/file/swviq1pv5jubdvoay3db/CONTRATO_045-18_Censurado.pdf</t>
  </si>
  <si>
    <t>https://www.zapopan.gob.mx/repositorio/view/file/3ob1f3ntqjfefyhdkjv8/CONTRATO_046-18_Censurado.pdf</t>
  </si>
  <si>
    <t>https://www.zapopan.gob.mx/repositorio/view/file/t2eebjcyzowcju28dtah/CONTRATO_047-18_Censurado.pdf</t>
  </si>
  <si>
    <t>https://www.zapopan.gob.mx/repositorio/view/file/aibut1z9idv2n1uvu4ku/CONTRATO_049-18_Censurado.pdf</t>
  </si>
  <si>
    <t>https://www.zapopan.gob.mx/repositorio/view/file/glztdir1dmn6fwoec2uo/CONTRATO_050-18_Censurado.pdf</t>
  </si>
  <si>
    <t>https://www.zapopan.gob.mx/repositorio/view/file/3tkzx1sipy6kct9tdqab/CONTRATO_051-18_Censurado.pdf</t>
  </si>
  <si>
    <t>https://www.zapopan.gob.mx/repositorio/view/file/adj0paxjrckzxmitfbf4/CONTRATO_054-18_Censurado (2).pdf</t>
  </si>
  <si>
    <t>https://www.zapopan.gob.mx/repositorio/view/file/9gxselxg4h7dhkacovry/CONTRATO_056-18_Censurado.pdf</t>
  </si>
  <si>
    <t>https://www.zapopan.gob.mx/repositorio/view/file/nwgnuh2enlxkz3aff66w/CONTRATO_057-18_Censurado.pdf</t>
  </si>
  <si>
    <t>https://www.zapopan.gob.mx/repositorio/view/file/zn7xutzh8or8l953upra/CONTRATO_058-18_Censurado.pdf</t>
  </si>
  <si>
    <t>https://www.zapopan.gob.mx/repositorio/view/file/ys24p0e0yixjyttuywst/CONTRATO_059-18_Censurado.pdf</t>
  </si>
  <si>
    <t>https://www.zapopan.gob.mx/repositorio/view/file/l54uhptj2fuv7lgz7udd/CONTRATO_060-18_Censurado.pdf</t>
  </si>
  <si>
    <t>https://www.zapopan.gob.mx/repositorio/view/file/hzabvydvzs2pxm2fowhx/CONTRATO_061-18_Censurado.pdf</t>
  </si>
  <si>
    <t>https://www.zapopan.gob.mx/repositorio/view/file/7izhxdvuwsie2bplesok/CONTRATO 065 2018-CENSURADO.pdf</t>
  </si>
  <si>
    <t>https://www.zapopan.gob.mx/repositorio/view/file/eb8kq7kwtgfxewrkmddf/CONTRATO 066-2018-CENSURADO.pdf</t>
  </si>
  <si>
    <t>https://www.zapopan.gob.mx/repositorio/view/file/djkobajqe03j40qz4ccq/CONTRATO 067-2018-CENSURADO.pdf</t>
  </si>
  <si>
    <t>https://www.zapopan.gob.mx/repositorio/view/file/yxkdsazcijvp7wtxiu1r/CONTRATO 068-2018-CENSURADO.pdf</t>
  </si>
  <si>
    <t>https://www.zapopan.gob.mx/repositorio/view/file/3br2zam1niad1zu52icr/CONTRATO 069 2018-CENSURADO.pdf</t>
  </si>
  <si>
    <t>https://www.zapopan.gob.mx/repositorio/view/file/nmhx3tctw9vnedz3vcpo/CONTRATO 070 2018-CENSURADO.pdf</t>
  </si>
  <si>
    <t>https://www.zapopan.gob.mx/repositorio/view/file/5dyplifamjvnprzxdxh5/CONTRATO 071-2018-CENSURADO.pdf</t>
  </si>
  <si>
    <t>https://www.zapopan.gob.mx/repositorio/view/file/4mcrozpwbj7mrgsxbdvg/CONTRATO 072-2018-CENSURADO.pdf</t>
  </si>
  <si>
    <t>https://www.zapopan.gob.mx/repositorio/view/file/yctsaeeftvhodmuph9f5/CONTRATO 074-2018-CENSURADO.pdf</t>
  </si>
  <si>
    <t>https://www.zapopan.gob.mx/repositorio/view/file/vb4dljrsohxcfzqkbx85/CONTRATO 075-2018-CENSURADO.pdf</t>
  </si>
  <si>
    <t>https://www.zapopan.gob.mx/repositorio/view/file/vbl092wr8vyggu0zumvo/CONTRATO 076-2018-CENSURADO.pdf</t>
  </si>
  <si>
    <t>https://www.zapopan.gob.mx/repositorio/view/file/pjiygilrhvjsdoihfqup/CONTRATO 077-2018-CENSURADO.pdf</t>
  </si>
  <si>
    <t>https://www.zapopan.gob.mx/repositorio/view/file/fwue1tdbu60rsnlm6muj/CONTRATO 078-2018-CENSURADO.pdf</t>
  </si>
  <si>
    <t>https://www.zapopan.gob.mx/repositorio/view/file/3hg2ztgci4cafdzsm9aq/CONTRATO_079-18_Censurado.pdf</t>
  </si>
  <si>
    <t>https://www.zapopan.gob.mx/repositorio/view/file/3vhsrr8nrns6putbbctw/CONTRATO_080-18_Censurado.pdf</t>
  </si>
  <si>
    <t>https://www.zapopan.gob.mx/repositorio/view/file/xkceqaasuixdayd42fdu/CONTRATO_081-18_Censurado.pdf</t>
  </si>
  <si>
    <t>https://www.zapopan.gob.mx/repositorio/view/file/06o3q9ihwhcqo2mbgpjd/CONTRATO 082 2018_Censurado.pdf</t>
  </si>
  <si>
    <t>https://www.zapopan.gob.mx/repositorio/view/file/ur8qjgfp9xtsoweyfzi8/CONTRATO_083-18_Censurado.pdf</t>
  </si>
  <si>
    <t>https://www.zapopan.gob.mx/repositorio/view/file/vgaf7bugejmxlrm9thu1/CONTRATO_084-18_Censurado.pdf</t>
  </si>
  <si>
    <t>https://www.zapopan.gob.mx/repositorio/view/file/taoifzyrzbgqpjkme0im/CONTRATO_085-18_Censurado.pdf</t>
  </si>
  <si>
    <t>https://www.zapopan.gob.mx/repositorio/view/file/dbfogiwbvfxxathotpsf/CONTRATO_086-18_Censurado.pdf</t>
  </si>
  <si>
    <t>https://www.zapopan.gob.mx/repositorio/view/file/u5tvf2wtaehd0rskigvo/CONTRATO_088-18_Censurado.pdf</t>
  </si>
  <si>
    <t>https://www.zapopan.gob.mx/repositorio/view/file/w72fxjxgcaasopq4mpmx/CONTRATO_089-18_Censurado.pdf</t>
  </si>
  <si>
    <t>https://www.zapopan.gob.mx/repositorio/view/file/ut2jcur6otze91d0dmvm/CONTRATO_091-18_Censurado.pdf</t>
  </si>
  <si>
    <t>https://www.zapopan.gob.mx/repositorio/view/file/5gv1kmwehxxd29ta07tn/CONTRATO_092-18_Censurado.pdf</t>
  </si>
  <si>
    <t>https://www.zapopan.gob.mx/repositorio/view/file/o3ei6yatet28doardmxj/CONTRATO 095 2018_Censurado.pdf</t>
  </si>
  <si>
    <t>https://www.zapopan.gob.mx/repositorio/view/file/1bi8lf26ksazbui8gm02/CONTRATO_096-18_Censurado.pdf</t>
  </si>
  <si>
    <t>https://www.zapopan.gob.mx/repositorio/view/file/nzpxqcosx8wxefeim19a/CONTRATO_097-18_Censurado.pdf</t>
  </si>
  <si>
    <t>https://www.zapopan.gob.mx/repositorio/view/file/z2qfro5vmvl2ttqwiczj/CONTRATO_098-18_Censurado.pdf</t>
  </si>
  <si>
    <t>https://www.zapopan.gob.mx/repositorio/view/file/mb7d88iqxxrs6dqfozyu/CONTRATO_099-18_Censurado.pdf</t>
  </si>
  <si>
    <t>https://www.zapopan.gob.mx/repositorio/view/file/c8wyampmklsk4az0uyzi/CONTRATO_100-18_Censurado.pdf</t>
  </si>
  <si>
    <t>https://www.zapopan.gob.mx/repositorio/view/file/s6y9yty6geohhrjtzydo/CONTRATO_105-18_Censurado.pdf</t>
  </si>
  <si>
    <t>https://www.zapopan.gob.mx/repositorio/view/file/we74b7rzk6wtbg9dd1fi/CONTRATO 148 2018-CENSURADO.pdf</t>
  </si>
  <si>
    <t>https://www.zapopan.gob.mx/repositorio/view/file/i2sle2tput70wvuafvgi/CONTRATO 149-2018-CENSURADO.pdf</t>
  </si>
  <si>
    <t>https://www.zapopan.gob.mx/repositorio/view/file/zwbsmssjow5caemzgibm/CONTRATO 150-2018-CENSURADO.pdf</t>
  </si>
  <si>
    <t>https://www.zapopan.gob.mx/repositorio/view/file/vvckxljcbu3imxfwirnv/CONTRATO_196-18_Censurado.pdf</t>
  </si>
  <si>
    <t>https://www.zapopan.gob.mx/repositorio/view/file/glgv2ezo0fpca95baonj/CONTRATO_202-18_Censurado.pdf</t>
  </si>
  <si>
    <t>https://www.zapopan.gob.mx/repositorio/view/file/yfrqrco1bzeljrnhj5d7/CONTRATO_247-18_Censurado.pdf</t>
  </si>
  <si>
    <t>https://www.zapopan.gob.mx/repositorio/view/file/uekt95wfz7risbdd2dpt/CONTRATO_251-18_Censurado.pdf</t>
  </si>
  <si>
    <t>https://www.zapopan.gob.mx/repositorio/view/file/beufvg3amrwtp1w50jw2/CONTRATO_254-18_Censurado.pdf</t>
  </si>
  <si>
    <t>https://www.zapopan.gob.mx/repositorio/view/file/isldmmdvycovzbglsnrc/CONTRATO_273-18_Censurado.pdf</t>
  </si>
  <si>
    <t>https://www.zapopan.gob.mx/repositorio/view/file/pbfdfxcokgrev9yxmsjv/CONTRATO_275-18_Censurado.pdf</t>
  </si>
  <si>
    <t>https://www.zapopan.gob.mx/wp-content/uploads/2019/08/CONTRATO_052-18_Censurado.pdf</t>
  </si>
  <si>
    <t>https://www.zapopan.gob.mx/wp-content/uploads/2019/08/CONTRATO_055-18_Censurado.pdf</t>
  </si>
  <si>
    <t>https://www.zapopan.gob.mx/wp-content/uploads/2019/08/CONTRATO_274-18_Censurado.pdf</t>
  </si>
  <si>
    <t>Canal Santa Catalina
(Av. Patria a Av. Mariano Otero)</t>
  </si>
  <si>
    <t xml:space="preserve">Villas Perisur
El Briseño
Periferico Poniente y Mariano Otero </t>
  </si>
  <si>
    <t>Santa María del Pueblito
Santa Margarita
Villas de Guadalupe</t>
  </si>
  <si>
    <t>Jardines del Vergel sección I y Lomas del Centinela</t>
  </si>
  <si>
    <t>Pinar de la Calma, Los Cajetes, El Briseño, Mariano Otero y Paseos del Briseño</t>
  </si>
  <si>
    <t>San Isidro Ejidal, Arcos de Zapopan y San José del Bajio</t>
  </si>
  <si>
    <t>Misión del Bosque, San Francisco de Ixcatán, Río Blanco y Copala</t>
  </si>
  <si>
    <t>Nuevo México, Paraisos del Colli,  Primavera Nte. Y Las Aguilas</t>
  </si>
  <si>
    <t>Zona Surponiente de Zapopan</t>
  </si>
  <si>
    <t>Zona Norponiente de Zapopan</t>
  </si>
  <si>
    <t>Zona Norte de Zapopan</t>
  </si>
  <si>
    <t>Unidad Fovissste</t>
  </si>
  <si>
    <t>Puerta de Hierro</t>
  </si>
  <si>
    <t>Guadalupe, Jardines Universidad y Loma Bonita</t>
  </si>
  <si>
    <t>Poblado de Jocotán</t>
  </si>
  <si>
    <t>Tepeyac</t>
  </si>
  <si>
    <t>Zona Sur de Zapopan</t>
  </si>
  <si>
    <t>Colonia La Calma</t>
  </si>
  <si>
    <t>Zona Poniente</t>
  </si>
  <si>
    <t>Colonia Colinas del Rio</t>
  </si>
  <si>
    <t>Colonias San Juan Ocotan, El Batan, El Colli Urbano, Tesistan, Altagracia, Atemajac y otras</t>
  </si>
  <si>
    <t>Colonia Milpillas mesa de San Juan y Colonia Constitucion</t>
  </si>
  <si>
    <t>Coli Urbano</t>
  </si>
  <si>
    <t>Tuzania, Lomas de Zapopan</t>
  </si>
  <si>
    <t>Camichines Vallarta, la estancia</t>
  </si>
  <si>
    <t>356 ML</t>
  </si>
  <si>
    <t>226 ML</t>
  </si>
  <si>
    <t>219.3 ML</t>
  </si>
  <si>
    <t>98.8 ML</t>
  </si>
  <si>
    <t>996.3 ML</t>
  </si>
  <si>
    <t>403.49 ML</t>
  </si>
  <si>
    <t>267.37 ML</t>
  </si>
  <si>
    <t>https://www.zapopan.gob.mx/wp-content/uploads/2019/10/CO_009_16_VP.pdf</t>
  </si>
  <si>
    <t>https://www.zapopan.gob.mx/wp-content/uploads/2019/10/CO_039_16_VP.pdf</t>
  </si>
  <si>
    <t>https://www.zapopan.gob.mx/wp-content/uploads/2019/10/CO_040_16_VP.pdf</t>
  </si>
  <si>
    <t>https://www.zapopan.gob.mx/wp-content/uploads/2019/10/CO_041_16_VP.pdf</t>
  </si>
  <si>
    <t>https://www.zapopan.gob.mx/wp-content/uploads/2019/10/CO_070_16_VP.pdf</t>
  </si>
  <si>
    <t>https://www.zapopan.gob.mx/wp-content/uploads/2019/10/CO_073_16_VP.pdf</t>
  </si>
  <si>
    <t>https://www.zapopan.gob.mx/wp-content/uploads/2019/10/CO_127_16_VP.pdf</t>
  </si>
  <si>
    <t>https://www.zapopan.gob.mx/wp-content/uploads/2019/10/CO_129_16_VP.pdf</t>
  </si>
  <si>
    <t>https://www.zapopan.gob.mx/wp-content/uploads/2019/10/CO_130_16_VP.pdf</t>
  </si>
  <si>
    <t>https://www.zapopan.gob.mx/wp-content/uploads/2019/10/CO_132_16_VP.pdf</t>
  </si>
  <si>
    <t>https://www.zapopan.gob.mx/wp-content/uploads/2019/10/CO_133_16_VP.pdf</t>
  </si>
  <si>
    <t>https://www.zapopan.gob.mx/wp-content/uploads/2019/10/CO_134_16_VP.pdf</t>
  </si>
  <si>
    <t>https://www.zapopan.gob.mx/wp-content/uploads/2019/10/CO_135_16_VP.pdf</t>
  </si>
  <si>
    <t>https://www.zapopan.gob.mx/wp-content/uploads/2019/10/CO_137_16_VP.pdf</t>
  </si>
  <si>
    <t>https://www.zapopan.gob.mx/wp-content/uploads/2019/10/CO_160_16_VP.pdf</t>
  </si>
  <si>
    <t>https://www.zapopan.gob.mx/wp-content/uploads/2019/10/CO_161_16_VP.pdf</t>
  </si>
  <si>
    <t>https://www.zapopan.gob.mx/wp-content/uploads/2019/10/CO_163_16_VP.pdf</t>
  </si>
  <si>
    <t>https://www.zapopan.gob.mx/wp-content/uploads/2019/10/CO_165_16_VP.pdf</t>
  </si>
  <si>
    <t>https://www.zapopan.gob.mx/wp-content/uploads/2019/10/CO_002_16_VP_2.pdf</t>
  </si>
  <si>
    <t>https://www.zapopan.gob.mx/wp-content/uploads/2019/10/CO_043_16_VP_3.pdf</t>
  </si>
  <si>
    <t>https://www.zapopan.gob.mx/wp-content/uploads/2019/10/CO_166_16_VP.pdf</t>
  </si>
  <si>
    <t>https://www.zapopan.gob.mx/wp-content/uploads/2019/10/CO_222_16_VP.pdf</t>
  </si>
  <si>
    <t>https://www.zapopan.gob.mx/wp-content/uploads/2019/10/CO_242_16_VP.pdf</t>
  </si>
  <si>
    <t>https://www.zapopan.gob.mx/wp-content/uploads/2019/10/CO_265_16_VP.pdf</t>
  </si>
  <si>
    <t>https://www.zapopan.gob.mx/wp-content/uploads/2019/10/CO_277_16_VP.pdf</t>
  </si>
  <si>
    <t>https://www.zapopan.gob.mx/wp-content/uploads/2019/10/CO_CONTRATO_002-17_Redacted_2.pdf</t>
  </si>
  <si>
    <t>https://www.zapopan.gob.mx/wp-content/uploads/2019/10/CO_CONTRATO_003-17_Redacted_2.pdf</t>
  </si>
  <si>
    <t>https://www.zapopan.gob.mx/wp-content/uploads/2019/10/CO_CONTRATO_008-17_Redacted_2.pdf</t>
  </si>
  <si>
    <t>https://www.zapopan.gob.mx/wp-content/uploads/2019/10/CO_CONTRATO_010-17_Redacted_2.pdf</t>
  </si>
  <si>
    <t>https://www.zapopan.gob.mx/wp-content/uploads/2019/10/CO_CONTRATO_011-17_Redacted_2.pdf</t>
  </si>
  <si>
    <t>https://www.zapopan.gob.mx/wp-content/uploads/2019/10/CO_CONTRATO_012-17_Redacted_2.pdf</t>
  </si>
  <si>
    <t>https://www.zapopan.gob.mx/wp-content/uploads/2019/10/CO_CONTRATO_013-17_Redacted_2.pdf</t>
  </si>
  <si>
    <t>https://www.zapopan.gob.mx/wp-content/uploads/2019/10/CO_CONTRATO_014-17_Redacted_2.pdf</t>
  </si>
  <si>
    <t>https://www.zapopan.gob.mx/wp-content/uploads/2019/10/CO_CONTRATO_016-17_Redacted_2.pdf</t>
  </si>
  <si>
    <t>https://www.zapopan.gob.mx/wp-content/uploads/2019/10/CO_CONTRATO_017-17_Redacted_2.pdf</t>
  </si>
  <si>
    <t>https://www.zapopan.gob.mx/wp-content/uploads/2019/10/CO_CONTRATO_018-17_Redacted_2.pdf</t>
  </si>
  <si>
    <t>https://www.zapopan.gob.mx/wp-content/uploads/2019/10/CO_CONTRATO_019-17_Redacted_2.pdf</t>
  </si>
  <si>
    <t>https://www.zapopan.gob.mx/wp-content/uploads/2019/10/CO_CONTRATO_020-17_Redacted_2.pdf</t>
  </si>
  <si>
    <t>https://www.zapopan.gob.mx/wp-content/uploads/2019/10/CO_CONTRATO_023-17_Redacted_2.pdf</t>
  </si>
  <si>
    <t>https://www.zapopan.gob.mx/wp-content/uploads/2019/10/CO_CONTRATO_024-17_Redacted_2.pdf</t>
  </si>
  <si>
    <t>https://www.zapopan.gob.mx/wp-content/uploads/2019/10/CO_CONTRATO_025-17_Redacted_2.pdf</t>
  </si>
  <si>
    <t>https://www.zapopan.gob.mx/wp-content/uploads/2019/10/CO_CONTRATO_026-17_Redacted_2.pdf</t>
  </si>
  <si>
    <t>https://www.zapopan.gob.mx/wp-content/uploads/2019/10/CO_CONTRATO_027-17_Redacted_2.pdf</t>
  </si>
  <si>
    <t>https://www.zapopan.gob.mx/wp-content/uploads/2019/10/CO_CONTRATO_028-17_Redacted_2.pdf</t>
  </si>
  <si>
    <t>https://www.zapopan.gob.mx/wp-content/uploads/2019/10/CO_CONTRATO_029-17_Redacted_2.pdf</t>
  </si>
  <si>
    <t>https://www.zapopan.gob.mx/wp-content/uploads/2019/10/CO_CONTRATO_030-17_Redacted_2.pdf</t>
  </si>
  <si>
    <t>https://www.zapopan.gob.mx/wp-content/uploads/2019/10/CO_CONTRATO_031-17_Redacted_2.pdf</t>
  </si>
  <si>
    <t>https://www.zapopan.gob.mx/wp-content/uploads/2019/10/CO_CONTRATO_033-17_Redacted_2.pdf</t>
  </si>
  <si>
    <t>https://www.zapopan.gob.mx/wp-content/uploads/2019/10/CO_CONTRATO_034-17_Redacted_2.pdf</t>
  </si>
  <si>
    <t>https://www.zapopan.gob.mx/wp-content/uploads/2019/10/CO_CONTRATO_036-17_Redacted_2.pdf</t>
  </si>
  <si>
    <t>https://www.zapopan.gob.mx/wp-content/uploads/2019/10/CO_CONTRATO_038-17_Redacted_2.pdf</t>
  </si>
  <si>
    <t>https://www.zapopan.gob.mx/wp-content/uploads/2019/10/CO_CONTRATO_039-17_Redacted_2.pdf</t>
  </si>
  <si>
    <t>https://www.zapopan.gob.mx/wp-content/uploads/2019/10/CO_CONTRATO_040-17_Redacted_2.pdf</t>
  </si>
  <si>
    <t>https://www.zapopan.gob.mx/wp-content/uploads/2019/10/CO_CONTRATO_041-17_Redacted_2.pdf</t>
  </si>
  <si>
    <t>https://www.zapopan.gob.mx/wp-content/uploads/2019/10/CO_CONTRATO_042-17_Redacted_2.pdf</t>
  </si>
  <si>
    <t>https://www.zapopan.gob.mx/wp-content/uploads/2019/10/CO_CONTRATO_043-17_Redacted_2.pdf</t>
  </si>
  <si>
    <t>https://www.zapopan.gob.mx/wp-content/uploads/2019/10/CO_CONTRATO_044-17_Redacted_2.pdf</t>
  </si>
  <si>
    <t>https://www.zapopan.gob.mx/wp-content/uploads/2019/10/CO_CONTRATO_045-17_Redacted_2.pdf</t>
  </si>
  <si>
    <t>https://www.zapopan.gob.mx/wp-content/uploads/2019/10/CO_CONTRATO_048-17_Redacted_2.pdf</t>
  </si>
  <si>
    <t>https://www.zapopan.gob.mx/wp-content/uploads/2019/10/CO_CONTRATO_049-17_Redacted_2.pdf</t>
  </si>
  <si>
    <t>https://www.zapopan.gob.mx/wp-content/uploads/2019/10/CO_CONTRATO_050-17_Redacted_2.pdf</t>
  </si>
  <si>
    <t>https://www.zapopan.gob.mx/wp-content/uploads/2019/10/CO_CONTRATO_051-17_Redacted_2.pdf</t>
  </si>
  <si>
    <t>https://www.zapopan.gob.mx/wp-content/uploads/2019/10/CO_CONTRATO_055-17_Redacted_2.pdf</t>
  </si>
  <si>
    <t>https://www.zapopan.gob.mx/wp-content/uploads/2019/10/CO_CONTRATO_063-17_Redacted_2.pdf</t>
  </si>
  <si>
    <t>https://www.zapopan.gob.mx/wp-content/uploads/2019/10/CO_CONTRATO_064-17_Redacted_2.pdf</t>
  </si>
  <si>
    <t>https://www.zapopan.gob.mx/wp-content/uploads/2019/10/CO_CONTRATO_065-17_Redacted_2.pdf</t>
  </si>
  <si>
    <t>https://www.zapopan.gob.mx/wp-content/uploads/2019/10/CO_CONTRATO_066-17_Redacted_2.pdf</t>
  </si>
  <si>
    <t>https://www.zapopan.gob.mx/wp-content/uploads/2019/10/CO_CONTRATO_067-17_Redacted_2.pdf</t>
  </si>
  <si>
    <t>https://www.zapopan.gob.mx/wp-content/uploads/2019/10/CO_CONTRATO_077-17_Redacted_2.pdf</t>
  </si>
  <si>
    <t>https://www.zapopan.gob.mx/wp-content/uploads/2019/10/CO_CONTRATO_078-17_Redacted_2.pdf</t>
  </si>
  <si>
    <t>https://www.zapopan.gob.mx/wp-content/uploads/2019/10/CO_CONTRATO_082-17_Redacted_2.pdf</t>
  </si>
  <si>
    <t>https://www.zapopan.gob.mx/wp-content/uploads/2019/10/CO_CONTRATO_084-17_Redacted_2.pdf</t>
  </si>
  <si>
    <t>https://www.zapopan.gob.mx/wp-content/uploads/2019/10/CO_CONTRATO_086-17_Redacted_2.pdf</t>
  </si>
  <si>
    <t>https://www.zapopan.gob.mx/wp-content/uploads/2019/10/CO_CONTRATO_087-17_Redacted_2.pdf</t>
  </si>
  <si>
    <t>https://www.zapopan.gob.mx/wp-content/uploads/2019/10/CO_CONTRATO_088-17_Redacted_2.pdf</t>
  </si>
  <si>
    <t>https://www.zapopan.gob.mx/wp-content/uploads/2019/10/CO_CONTRATO_089-17_Redacted_2.pdf</t>
  </si>
  <si>
    <t>https://www.zapopan.gob.mx/wp-content/uploads/2019/10/CO_CONTRATO_090-17_Redacted_2.pdf</t>
  </si>
  <si>
    <t>https://www.zapopan.gob.mx/wp-content/uploads/2019/10/CO_CONTRATO_073-17_Redacted_2.pdf</t>
  </si>
  <si>
    <t>https://www.zapopan.gob.mx/wp-content/uploads/2019/10/CO_CONTRATO_091-17_Redacted_2.pdf</t>
  </si>
  <si>
    <t>https://www.zapopan.gob.mx/wp-content/uploads/2019/10/CO_CONTRATO_092-17_Redacted_2.pdf</t>
  </si>
  <si>
    <t>https://www.zapopan.gob.mx/wp-content/uploads/2019/10/CO_CONTRATO_093-17_Redacted_2.pdf</t>
  </si>
  <si>
    <t>https://www.zapopan.gob.mx/wp-content/uploads/2019/10/CO_CONTRATO_095-17_Redacted_2.pdf</t>
  </si>
  <si>
    <t>https://www.zapopan.gob.mx/wp-content/uploads/2019/10/CO_CONTRATO_096-17_Redacted_2.pdf</t>
  </si>
  <si>
    <t>https://www.zapopan.gob.mx/wp-content/uploads/2019/10/CO_CONTRATO_097-17_Redacted_2.pdf</t>
  </si>
  <si>
    <t>https://www.zapopan.gob.mx/wp-content/uploads/2019/10/CO_CONTRATO_098-17_Redacted_2.pdf</t>
  </si>
  <si>
    <t>https://www.zapopan.gob.mx/wp-content/uploads/2019/10/CO_CONTRATO_099-17_Redacted_2.pdf</t>
  </si>
  <si>
    <t>https://www.zapopan.gob.mx/wp-content/uploads/2019/10/CO_CONTRATO_100-17_Redacted_2.pdf</t>
  </si>
  <si>
    <t>https://www.zapopan.gob.mx/wp-content/uploads/2019/10/CO_CONTRATO_101-17_Redacted_2.pdf</t>
  </si>
  <si>
    <t>https://www.zapopan.gob.mx/wp-content/uploads/2019/10/CO_CONTRATO_102-17_Redacted_2.pdf</t>
  </si>
  <si>
    <t>https://www.zapopan.gob.mx/wp-content/uploads/2019/10/CO_CONTRATO_103-17_Redacted_2.pdf</t>
  </si>
  <si>
    <t>https://www.zapopan.gob.mx/wp-content/uploads/2019/10/CO_CONTRATO_105-17_Redacted_2.pdf</t>
  </si>
  <si>
    <t>https://www.zapopan.gob.mx/wp-content/uploads/2019/10/CO_CONTRATO_106-17_Redacted_2.pdf</t>
  </si>
  <si>
    <t>https://www.zapopan.gob.mx/wp-content/uploads/2019/10/CO_CONTRATO_107-17_Redacted_2.pdf</t>
  </si>
  <si>
    <t>https://www.zapopan.gob.mx/wp-content/uploads/2019/10/CO_CONTRATO_108-17_Redacted_2.pdf</t>
  </si>
  <si>
    <t>https://www.zapopan.gob.mx/wp-content/uploads/2019/10/CO_CONTRATO_109-17_Redacted_2.pdf</t>
  </si>
  <si>
    <t>https://www.zapopan.gob.mx/wp-content/uploads/2019/10/CO_CONTRATO_110-17_Redacted_2.pdf</t>
  </si>
  <si>
    <t>https://www.zapopan.gob.mx/wp-content/uploads/2019/10/CO_CONTRATO_111-17_Redacted_2.pdf</t>
  </si>
  <si>
    <t>https://www.zapopan.gob.mx/wp-content/uploads/2019/10/CO_CONTRATO_112-17_Redacted_2.pdf</t>
  </si>
  <si>
    <t>https://www.zapopan.gob.mx/wp-content/uploads/2019/10/CO_CONTRATO_113-17_Redacted_2.pdf</t>
  </si>
  <si>
    <t>https://www.zapopan.gob.mx/wp-content/uploads/2019/10/CO_CONTRATO_114-17_Redacted_2.pdf</t>
  </si>
  <si>
    <t>https://www.zapopan.gob.mx/wp-content/uploads/2019/10/CO_CONTRATO_115-17_Censurado_2.pdf</t>
  </si>
  <si>
    <t>https://www.zapopan.gob.mx/wp-content/uploads/2019/10/CO_CONTRATO_116-17_Censurado_2.pdf</t>
  </si>
  <si>
    <t>https://www.zapopan.gob.mx/wp-content/uploads/2019/10/CO_CONTRATO_118-17_Censurado_2.pdf</t>
  </si>
  <si>
    <t>https://www.zapopan.gob.mx/wp-content/uploads/2019/10/CO_CONTRATO_123-17_Censurado_2.pdf</t>
  </si>
  <si>
    <t>https://www.zapopan.gob.mx/wp-content/uploads/2019/10/CO_CONTRATO_127-17_Censurado_2.pdf</t>
  </si>
  <si>
    <t>https://www.zapopan.gob.mx/wp-content/uploads/2019/10/CO_CONTRATO_135-17_Censurado_2.pdf</t>
  </si>
  <si>
    <t>https://www.zapopan.gob.mx/wp-content/uploads/2019/10/CO_CONTRATO_138-17_Censurado_2.pdf</t>
  </si>
  <si>
    <t>https://www.zapopan.gob.mx/wp-content/uploads/2019/10/CO_CONTRATO_144-17_Censurado_2.pdf</t>
  </si>
  <si>
    <t>https://www.zapopan.gob.mx/wp-content/uploads/2019/10/CO_CONTRATO_145-17_Censurado_2.pdf</t>
  </si>
  <si>
    <t>https://www.zapopan.gob.mx/wp-content/uploads/2019/10/CO_CONTRATO_146-17_Censurado_2.pdf</t>
  </si>
  <si>
    <t>https://www.zapopan.gob.mx/wp-content/uploads/2019/10/CO_CONTRATO_147-17_Censurado_2.pdf</t>
  </si>
  <si>
    <t>https://www.zapopan.gob.mx/wp-content/uploads/2019/10/CO_CONTRATO_149-17_Censurado_2.pdf</t>
  </si>
  <si>
    <t>https://www.zapopan.gob.mx/wp-content/uploads/2019/10/CO_CONTRATO_150-17_Censurado_2.pdf</t>
  </si>
  <si>
    <t>https://www.zapopan.gob.mx/wp-content/uploads/2019/10/CO_CONTRATO_151-17_Censurado_2.pdf</t>
  </si>
  <si>
    <t>https://www.zapopan.gob.mx/wp-content/uploads/2019/10/CO_CONTRATO_117-17_Censurado_2.pdf</t>
  </si>
  <si>
    <t>https://www.zapopan.gob.mx/wp-content/uploads/2019/10/CO_CONTRATO_152-17_Censurado_2.pdf</t>
  </si>
  <si>
    <t>https://www.zapopan.gob.mx/wp-content/uploads/2019/10/CO_CONTRATO_153-17_Censurado_2.pdf</t>
  </si>
  <si>
    <t>https://www.zapopan.gob.mx/wp-content/uploads/2019/10/CO_CONTRATO_154-17_Censurado_2.pdf</t>
  </si>
  <si>
    <t>https://www.zapopan.gob.mx/wp-content/uploads/2019/10/CO_CONTRATO_155-17_Censurado_2.pdf</t>
  </si>
  <si>
    <t>https://www.zapopan.gob.mx/wp-content/uploads/2019/10/CO_CONTRATO_157-17_Censurado_2.pdf</t>
  </si>
  <si>
    <t>https://www.zapopan.gob.mx/wp-content/uploads/2019/10/CO_CONTRATO_158-17_Censurado_2.pdf</t>
  </si>
  <si>
    <t>https://www.zapopan.gob.mx/wp-content/uploads/2019/10/CO_CONTRATO_159-17_Censurado_2.pdf</t>
  </si>
  <si>
    <t>https://www.zapopan.gob.mx/wp-content/uploads/2019/10/CO_CONTRATO_160-17_Censurado_2.pdf</t>
  </si>
  <si>
    <t>https://www.zapopan.gob.mx/wp-content/uploads/2019/10/CO_CONTRATO_161-17_Censurado_2.pdf</t>
  </si>
  <si>
    <t>https://www.zapopan.gob.mx/wp-content/uploads/2019/10/CO_CONTRATO_162-17_Censurado_2.pdf</t>
  </si>
  <si>
    <t>https://www.zapopan.gob.mx/wp-content/uploads/2019/10/CO_CONTRATO_163-17_Censurado_2.pdf</t>
  </si>
  <si>
    <t>https://www.zapopan.gob.mx/wp-content/uploads/2019/10/CO_CONTRATO_164-17_Censurado_2.pdf</t>
  </si>
  <si>
    <t>https://www.zapopan.gob.mx/wp-content/uploads/2019/10/CO_CONTRATO_165-17_Censurado_2.pdf</t>
  </si>
  <si>
    <t>https://www.zapopan.gob.mx/wp-content/uploads/2019/10/CO_CONTRATO_166-17_Censurado_2.pdf</t>
  </si>
  <si>
    <t>https://www.zapopan.gob.mx/wp-content/uploads/2019/10/CO_CONTRATO_167-17_Censurado_2.pdf</t>
  </si>
  <si>
    <t>https://www.zapopan.gob.mx/wp-content/uploads/2019/10/CO_CONTRATO_168-17_Censurado_2.pdf</t>
  </si>
  <si>
    <t>https://www.zapopan.gob.mx/wp-content/uploads/2019/10/CO_CONTRATO_169-17_Censurado_2.pdf</t>
  </si>
  <si>
    <t>https://www.zapopan.gob.mx/wp-content/uploads/2019/10/CO_CONTRATO_170-17_Censurado_2.pdf</t>
  </si>
  <si>
    <t>https://www.zapopan.gob.mx/wp-content/uploads/2019/10/CO_CONTRATO_171-17_Censurado_2.pdf</t>
  </si>
  <si>
    <t>https://www.zapopan.gob.mx/wp-content/uploads/2019/10/CO_CONTRATO_172-17_Censurado_2.pdf</t>
  </si>
  <si>
    <t>https://www.zapopan.gob.mx/wp-content/uploads/2019/10/CO_CONTRATO_173-17_Censurado_2.pdf</t>
  </si>
  <si>
    <t>https://www.zapopan.gob.mx/wp-content/uploads/2019/10/CO_CONTRATO_174-17_Censurado_2.pdf</t>
  </si>
  <si>
    <t>https://www.zapopan.gob.mx/wp-content/uploads/2019/10/CO_CONTRATO_175-17_Censurado_2.pdf</t>
  </si>
  <si>
    <t>https://www.zapopan.gob.mx/wp-content/uploads/2019/10/CO_CONTRATO_176-17_Censurado_2.pdf</t>
  </si>
  <si>
    <t>https://www.zapopan.gob.mx/wp-content/uploads/2019/10/CO_CONTRATO_177-17_Censurado_2.pdf</t>
  </si>
  <si>
    <t>https://www.zapopan.gob.mx/wp-content/uploads/2019/10/CO_CONTRATO_179-17_Censurado_2.pdf</t>
  </si>
  <si>
    <t>https://www.zapopan.gob.mx/wp-content/uploads/2019/10/CO_CONTRATO_181-17_Censurado_2.pdf</t>
  </si>
  <si>
    <t>https://www.zapopan.gob.mx/wp-content/uploads/2019/10/CO_CONTRATO_184-17_Censurado_2.pdf</t>
  </si>
  <si>
    <t>https://www.zapopan.gob.mx/wp-content/uploads/2019/10/CO_CONTRATO_185-17_Censurado_2.pdf</t>
  </si>
  <si>
    <t>https://www.zapopan.gob.mx/wp-content/uploads/2019/10/CO_CONTRATO_186-17_Censurado_2.pdf</t>
  </si>
  <si>
    <t>https://www.zapopan.gob.mx/wp-content/uploads/2019/10/CO_CONTRATO_187-17_Censurado_2.pdf</t>
  </si>
  <si>
    <t>https://www.zapopan.gob.mx/wp-content/uploads/2019/10/CO_CONTRATO_188-17_Censurado_2.pdf</t>
  </si>
  <si>
    <t>https://www.zapopan.gob.mx/wp-content/uploads/2019/10/CO_CONTRATO_189-17_Censurado_2.pdf</t>
  </si>
  <si>
    <t>https://www.zapopan.gob.mx/wp-content/uploads/2019/10/CO_CONTRATO_190-17_Censurado_2.pdf</t>
  </si>
  <si>
    <t>https://www.zapopan.gob.mx/wp-content/uploads/2019/10/CO_CONTRATO_191-17_Censurado_2.pdf</t>
  </si>
  <si>
    <t>https://www.zapopan.gob.mx/wp-content/uploads/2019/10/CO_CONTRATO_197-17_Censurado_2.pdf</t>
  </si>
  <si>
    <t>https://www.zapopan.gob.mx/wp-content/uploads/2019/10/CO_CONTRATO_198-17_Censurado_2.pdf</t>
  </si>
  <si>
    <t>https://www.zapopan.gob.mx/wp-content/uploads/2019/10/CO_CONTRATO_199-17_Censurado_2.pdf</t>
  </si>
  <si>
    <t>https://www.zapopan.gob.mx/wp-content/uploads/2019/10/CO_CONTRATO_200-17_Censurado_2.pdf</t>
  </si>
  <si>
    <t>https://www.zapopan.gob.mx/wp-content/uploads/2019/10/CO_CONTRATO_201-17_Censurado_2.pdf</t>
  </si>
  <si>
    <t>https://www.zapopan.gob.mx/wp-content/uploads/2019/10/CO_CONTRATO_203-17_Censurado_2.pdf</t>
  </si>
  <si>
    <t>https://www.zapopan.gob.mx/wp-content/uploads/2019/10/CO_CONTRATO_204-17_Censurado_2.pdf</t>
  </si>
  <si>
    <t>https://www.zapopan.gob.mx/wp-content/uploads/2019/10/CO_CONTRATO_210-17_Censurado_2.pdf</t>
  </si>
  <si>
    <t>https://www.zapopan.gob.mx/wp-content/uploads/2019/10/CO_CONTRATO_216-17_Censurado_2.pdf</t>
  </si>
  <si>
    <t>https://www.zapopan.gob.mx/wp-content/uploads/2019/10/CO_CONTRATO_218-17_Censurado_2.pdf</t>
  </si>
  <si>
    <t>https://www.zapopan.gob.mx/wp-content/uploads/2019/10/CO_CONTRATO_219-17_Censurado_2.pdf</t>
  </si>
  <si>
    <t>https://www.zapopan.gob.mx/wp-content/uploads/2019/10/CO_CONTRATO_220-17_Censurado_2.pdf</t>
  </si>
  <si>
    <t>https://www.zapopan.gob.mx/wp-content/uploads/2019/10/CO_CONTRATO_221-17_Censurado_2.pdf</t>
  </si>
  <si>
    <t>https://www.zapopan.gob.mx/wp-content/uploads/2019/10/CO_CONTRATO_222-17_Censurado_2.pdf</t>
  </si>
  <si>
    <t>https://www.zapopan.gob.mx/wp-content/uploads/2019/10/CO_CONTRATO_224-17_Censurado_2.pdf</t>
  </si>
  <si>
    <t>https://www.zapopan.gob.mx/wp-content/uploads/2019/10/CO_CONTRATO_225-17_Censurado_2.pdf</t>
  </si>
  <si>
    <t>https://www.zapopan.gob.mx/wp-content/uploads/2019/10/CO_CONTRATO_226-17_Censurado_2.pdf</t>
  </si>
  <si>
    <t>https://www.zapopan.gob.mx/wp-content/uploads/2019/10/CO_CONTRATO_227-17_Censurado_2.pdf</t>
  </si>
  <si>
    <t>https://www.zapopan.gob.mx/wp-content/uploads/2019/10/CO_CONTRATO_228-17-censurado_2.pdf</t>
  </si>
  <si>
    <t>https://www.zapopan.gob.mx/wp-content/uploads/2019/10/CO_CONTRATO_235-17-censurado_2.pdf</t>
  </si>
  <si>
    <t>https://www.zapopan.gob.mx/wp-content/uploads/2019/10/CO_CONTRATO_237-17-censurado_2.pdf</t>
  </si>
  <si>
    <t>https://www.zapopan.gob.mx/wp-content/uploads/2019/10/CO_CONTRATO_238-17-censurado_2.pdf</t>
  </si>
  <si>
    <t>https://www.zapopan.gob.mx/wp-content/uploads/2019/10/CO_CONTRATO_239-17-censurado_2.pdf</t>
  </si>
  <si>
    <t>https://www.zapopan.gob.mx/wp-content/uploads/2019/10/CO_CONTRATO_243-17-censurado_2.pdf</t>
  </si>
  <si>
    <t>https://www.zapopan.gob.mx/wp-content/uploads/2019/10/CO_CONTRATO_287-17_Censurado.pdf</t>
  </si>
  <si>
    <t>https://www.zapopan.gob.mx/wp-content/uploads/2019/10/CO_CONTRATO_288-17_Censurado.pdf</t>
  </si>
  <si>
    <t>https://www.zapopan.gob.mx/wp-content/uploads/2019/10/CO_CONTRATO_290-17_Censurado.pdf</t>
  </si>
  <si>
    <t>https://www.zapopan.gob.mx/wp-content/uploads/2019/10/CO_CONTRATO_291-17_Censurado.pdf</t>
  </si>
  <si>
    <t>https://www.zapopan.gob.mx/wp-content/uploads/2019/10/CO_CONTRATO_293-17_Censurado.pdf</t>
  </si>
  <si>
    <t>https://www.zapopan.gob.mx/wp-content/uploads/2019/10/CO_CONTRATO_294-17_Censurado.pdf</t>
  </si>
  <si>
    <t>https://www.zapopan.gob.mx/wp-content/uploads/2019/10/CO_CONTRATO_295-17_Censurado.pdf</t>
  </si>
  <si>
    <t>https://www.zapopan.gob.mx/wp-content/uploads/2019/10/CO_CONTRATO_296-17_Censurado.pdf</t>
  </si>
  <si>
    <t>https://www.zapopan.gob.mx/wp-content/uploads/2019/10/CO_CONTRATO_297-17_Censurado.pdf</t>
  </si>
  <si>
    <t>https://www.zapopan.gob.mx/wp-content/uploads/2019/10/CO_CONTRATO_298-17_Censurado.pdf</t>
  </si>
  <si>
    <t>https://www.zapopan.gob.mx/wp-content/uploads/2019/10/CO_CONTRATO_299-17_Censurado.pdf</t>
  </si>
  <si>
    <t>https://www.zapopan.gob.mx/wp-content/uploads/2019/10/CO_CONTRATO_300-17_Censurado.pdf</t>
  </si>
  <si>
    <t>https://www.zapopan.gob.mx/wp-content/uploads/2019/10/CO_CONTRATO_301-17_Censurado.pdf</t>
  </si>
  <si>
    <t>https://www.zapopan.gob.mx/wp-content/uploads/2019/10/CO_CONTRATO_302-17_Censurado.pdf</t>
  </si>
  <si>
    <t>https://www.zapopan.gob.mx/wp-content/uploads/2019/10/CO_CONTRATO_304-17_Censurado.pdf</t>
  </si>
  <si>
    <t>https://www.zapopan.gob.mx/wp-content/uploads/2019/10/CO_CONTRATO_305-17_Censurado.pdf</t>
  </si>
  <si>
    <t>https://www.zapopan.gob.mx/wp-content/uploads/2019/10/CO_CONTRATO_306-17_Censurado.pdf</t>
  </si>
  <si>
    <t>https://www.zapopan.gob.mx/wp-content/uploads/2019/10/CO_CONTRATO_307-17_Censurado.pdf</t>
  </si>
  <si>
    <t>https://www.zapopan.gob.mx/wp-content/uploads/2019/10/CO_CONTRATO_308-17_CEnsurado.pdf</t>
  </si>
  <si>
    <t>https://www.zapopan.gob.mx/wp-content/uploads/2019/10/CO_CONTRATO_309-17_Censurado.pdf</t>
  </si>
  <si>
    <t>https://www.zapopan.gob.mx/wp-content/uploads/2019/10/CO_CONTRATO_311-17_Censurado.pdf</t>
  </si>
  <si>
    <t>https://www.zapopan.gob.mx/wp-content/uploads/2019/10/CO_CONTRATO_312-17_Censurado.pdf</t>
  </si>
  <si>
    <t>https://www.zapopan.gob.mx/wp-content/uploads/2019/10/CO_CONTRATO_313-17_Censurado.pdf</t>
  </si>
  <si>
    <t>https://www.zapopan.gob.mx/wp-content/uploads/2019/10/CO_CONTRATO_314-17_Censurado_2.pdf</t>
  </si>
  <si>
    <t>https://www.zapopan.gob.mx/wp-content/uploads/2019/10/CO_CONTRATO_315-17_Censurado_2.pdf</t>
  </si>
  <si>
    <t>https://www.zapopan.gob.mx/wp-content/uploads/2019/10/CO_CONTRATO_316-17_Censurado_2.pdf</t>
  </si>
  <si>
    <t>https://www.zapopan.gob.mx/wp-content/uploads/2019/10/CO_CONTRATO_317-17_Censurado_2.pdf</t>
  </si>
  <si>
    <t>https://www.zapopan.gob.mx/wp-content/uploads/2019/10/CO_CONTRATO_320-17_Censurado_2.pdf</t>
  </si>
  <si>
    <t>https://www.zapopan.gob.mx/wp-content/uploads/2019/10/CO_CONTRATO_321-17_Censurado_2.pdf</t>
  </si>
  <si>
    <t>https://www.zapopan.gob.mx/wp-content/uploads/2019/10/CO_CONTRATO_322-17_Censurado_2.pdf</t>
  </si>
  <si>
    <t>https://www.zapopan.gob.mx/wp-content/uploads/2019/10/CO_CONTRATO_327-17_Censurado_2.pdf</t>
  </si>
  <si>
    <t>https://www.zapopan.gob.mx/wp-content/uploads/2019/10/CO_CONTRATO_328-17_Censurado_2.pdf</t>
  </si>
  <si>
    <t>https://www.zapopan.gob.mx/wp-content/uploads/2019/10/CO_CONTRATO_347-17_Censurado_2.pdf</t>
  </si>
  <si>
    <t>https://www.zapopan.gob.mx/wp-content/uploads/2019/10/CO_CONTRATO_348-17_Censurado_2.pdf</t>
  </si>
  <si>
    <t>https://www.zapopan.gob.mx/wp-content/uploads/2019/10/CO_CONTRATO_352-17_Censurado_2.pdf</t>
  </si>
  <si>
    <t>https://www.zapopan.gob.mx/wp-content/uploads/2019/10/CO_CONTRATO_353-17_Censurado_2.pdf</t>
  </si>
  <si>
    <t>https://www.zapopan.gob.mx/wp-content/uploads/2019/10/CO_CONTRATO_359-17_Censurado_2.pdf</t>
  </si>
  <si>
    <t>https://www.zapopan.gob.mx/wp-content/uploads/2019/10/CO_016_16_VP.pdf</t>
  </si>
  <si>
    <t>https://www.zapopan.gob.mx/wp-content/uploads/2019/10/CO_028_16_VP.pdf</t>
  </si>
  <si>
    <t>https://www.zapopan.gob.mx/wp-content/uploads/2019/10/CO_044_16_VP.pdf</t>
  </si>
  <si>
    <t>https://www.zapopan.gob.mx/wp-content/uploads/2019/10/CO_046-16_VP.pdf</t>
  </si>
  <si>
    <t>https://www.zapopan.gob.mx/wp-content/uploads/2019/10/CO_048_16_VP.pdf</t>
  </si>
  <si>
    <t>https://www.zapopan.gob.mx/wp-content/uploads/2019/10/CO_049_16_VP.pdf</t>
  </si>
  <si>
    <t>https://www.zapopan.gob.mx/wp-content/uploads/2019/10/CO_051_16_VP.pdf</t>
  </si>
  <si>
    <t>https://www.zapopan.gob.mx/wp-content/uploads/2019/10/CO_052_16_VP.pdf</t>
  </si>
  <si>
    <t>https://www.zapopan.gob.mx/wp-content/uploads/2019/10/CO_054_016_VP.pdf</t>
  </si>
  <si>
    <t>https://www.zapopan.gob.mx/wp-content/uploads/2019/10/CO_055_16_VP-1.pdf</t>
  </si>
  <si>
    <t>https://www.zapopan.gob.mx/wp-content/uploads/2019/10/CO_057_16_VP.pdf</t>
  </si>
  <si>
    <t>https://www.zapopan.gob.mx/wp-content/uploads/2019/10/CO_058_16_VP.pdf</t>
  </si>
  <si>
    <t>https://www.zapopan.gob.mx/wp-content/uploads/2019/10/CO_061_16_VP.pdf</t>
  </si>
  <si>
    <t>https://www.zapopan.gob.mx/wp-content/uploads/2019/10/CO_084_16_VP.pdf</t>
  </si>
  <si>
    <t>https://www.zapopan.gob.mx/wp-content/uploads/2019/10/CO_098_16_VP.pdf</t>
  </si>
  <si>
    <t>https://www.zapopan.gob.mx/wp-content/uploads/2019/10/CO_101_16_VP.pdf</t>
  </si>
  <si>
    <t>https://www.zapopan.gob.mx/wp-content/uploads/2019/10/CO_102_16_VP.pdf</t>
  </si>
  <si>
    <t>https://www.zapopan.gob.mx/wp-content/uploads/2019/10/CO_103_16_VP.pdf</t>
  </si>
  <si>
    <t>https://www.zapopan.gob.mx/wp-content/uploads/2019/10/CO_106_16_VP.pdf</t>
  </si>
  <si>
    <t>https://www.zapopan.gob.mx/wp-content/uploads/2019/10/CO_107_16_VP.pdf</t>
  </si>
  <si>
    <t>https://www.zapopan.gob.mx/wp-content/uploads/2019/10/CO_112_16_VP.pdf</t>
  </si>
  <si>
    <t>https://www.zapopan.gob.mx/wp-content/uploads/2019/10/CO_119_16_VP.pdf</t>
  </si>
  <si>
    <t>https://www.zapopan.gob.mx/wp-content/uploads/2019/10/CO_121_16_VP.pdf</t>
  </si>
  <si>
    <t>https://www.zapopan.gob.mx/wp-content/uploads/2019/10/CO_122_16_VP.pdf</t>
  </si>
  <si>
    <t>https://www.zapopan.gob.mx/wp-content/uploads/2019/10/CO_152_16_VP.pdf</t>
  </si>
  <si>
    <t>https://www.zapopan.gob.mx/wp-content/uploads/2019/10/CO_158_16_VP.pdf</t>
  </si>
  <si>
    <t>https://www.zapopan.gob.mx/wp-content/uploads/2019/10/CO_176_16_VP.pdf</t>
  </si>
  <si>
    <t>https://www.zapopan.gob.mx/wp-content/uploads/2019/10/CO_177_16_VP.pdf</t>
  </si>
  <si>
    <t>https://www.zapopan.gob.mx/wp-content/uploads/2019/10/CO_202-16_VP_2.pdf</t>
  </si>
  <si>
    <t>https://www.zapopan.gob.mx/wp-content/uploads/2019/10/CO_062-18_VP.pdf</t>
  </si>
  <si>
    <t>https://www.zapopan.gob.mx/wp-content/uploads/2019/10/CO_064-18_VP.pdf</t>
  </si>
  <si>
    <t>https://www.zapopan.gob.mx/wp-content/uploads/2019/10/CO_101-18_VP.pdf</t>
  </si>
  <si>
    <t>https://www.zapopan.gob.mx/wp-content/uploads/2019/10/CO_142_18_VP.pdf</t>
  </si>
  <si>
    <t>https://www.zapopan.gob.mx/wp-content/uploads/2019/10/CO_143_18_VP.pdf</t>
  </si>
  <si>
    <t>https://www.zapopan.gob.mx/wp-content/uploads/2019/10/CO_144_18_VP.pdf</t>
  </si>
  <si>
    <t>https://www.zapopan.gob.mx/wp-content/uploads/2019/10/CO_145_18_VP.pdf</t>
  </si>
  <si>
    <t>https://www.zapopan.gob.mx/wp-content/uploads/2019/10/CO_146_18_VP.pdf</t>
  </si>
  <si>
    <t>https://www.zapopan.gob.mx/wp-content/uploads/2019/10/CO_147_18_VP.pdf</t>
  </si>
  <si>
    <t>https://www.zapopan.gob.mx/wp-content/uploads/2019/10/CO_157_2018_VP_2_1.pdf</t>
  </si>
  <si>
    <t>https://www.zapopan.gob.mx/wp-content/uploads/2019/10/CO_162_18_VP.pdf</t>
  </si>
  <si>
    <t>https://www.zapopan.gob.mx/wp-content/uploads/2019/10/CO_168_18_VP.pdf</t>
  </si>
  <si>
    <t>https://www.zapopan.gob.mx/wp-content/uploads/2019/10/CO_169_18_VP.pdf</t>
  </si>
  <si>
    <t>https://www.zapopan.gob.mx/wp-content/uploads/2019/10/CO_170_18_VP.pdf</t>
  </si>
  <si>
    <t>https://www.zapopan.gob.mx/wp-content/uploads/2019/10/CO_171_18_VP.pdf</t>
  </si>
  <si>
    <t>https://www.zapopan.gob.mx/wp-content/uploads/2019/10/CO_173_18_VP.pdf</t>
  </si>
  <si>
    <t>https://www.zapopan.gob.mx/wp-content/uploads/2019/10/CO_176_18_VP.pdf</t>
  </si>
  <si>
    <t>https://www.zapopan.gob.mx/wp-content/uploads/2019/10/CONTRATO_188-18_Censurado.pdf</t>
  </si>
  <si>
    <t>https://www.zapopan.gob.mx/wp-content/uploads/2019/10/CO_177_18_VP_2.pdf</t>
  </si>
  <si>
    <t>https://www.zapopan.gob.mx/wp-content/uploads/2019/10/CO_087-18_VP.pdf</t>
  </si>
  <si>
    <t>https://www.zapopan.gob.mx/wp-content/uploads/2019/10/CO_103_18_VP.pdf</t>
  </si>
  <si>
    <t>https://www.zapopan.gob.mx/wp-content/uploads/2019/10/CO_181_18_VP.pdf</t>
  </si>
  <si>
    <t>https://www.zapopan.gob.mx/wp-content/uploads/2019/10/CO_182_18_VP.pdf</t>
  </si>
  <si>
    <t>https://www.zapopan.gob.mx/wp-content/uploads/2019/10/CONTRATO_252-18_Censurado.pdf</t>
  </si>
  <si>
    <t>https://www.zapopan.gob.mx/wp-content/uploads/2019/10/CO_248_18_VP.pdf</t>
  </si>
  <si>
    <t>https://www.zapopan.gob.mx/wp-content/uploads/2019/10/CO_036_18_VP.pdf</t>
  </si>
  <si>
    <t>https://www.zapopan.gob.mx/repositorio/view/file/0l6grvgmzpekmzrcxa1h/CONTRATO%20(045-2016)%20URCOMA.pdf</t>
  </si>
  <si>
    <t>https://www.zapopan.gob.mx/repositorio/view/file/0z1pifvehwxpwssv2sju/056-2016.pdf</t>
  </si>
  <si>
    <t>https://www.zapopan.gob.mx/repositorio/view/file/nuepgbjhhwaghqornzww/CONTRATO (065-2016) BREYSA.pdf</t>
  </si>
  <si>
    <t>https://www.zapopan.gob.mx/repositorio/view/file/xeuzdvidajsuqajgf6yb/CONTRATO (089-2016) CECUCHI.pdf</t>
  </si>
  <si>
    <t>https://www.zapopan.gob.mx/repositorio/view/file/3bh61p1urx7bo5icr8pr/CONTRATO (092-2016) MAYAB.pdf</t>
  </si>
  <si>
    <t>https://www.zapopan.gob.mx/repositorio/view/file/985nabeeefmewj1kqkoa/095-2016.pdf</t>
  </si>
  <si>
    <t>https://www.zapopan.gob.mx/repositorio/view/file/d8nk5omttouzzclsdkvh/CONTRATO (144-2016) TAUBE.pdf</t>
  </si>
  <si>
    <t>https://www.zapopan.gob.mx/repositorio/view/file/qju7wjjkxhla3iyi5vjs/CONTRATO_153-16_Censurado.pdf</t>
  </si>
  <si>
    <t>https://www.zapopan.gob.mx/repositorio/view/file/yovfha18hkbzdcmg6mip/CONTRATO_173-16_Censurado.pdf</t>
  </si>
  <si>
    <t>https://www.zapopan.gob.mx/repositorio/view/file/mukpayoxrfmjjopxhy8s/CONTRATO_174-16_Censurado.pdf</t>
  </si>
  <si>
    <t>https://www.zapopan.gob.mx/repositorio/view/file/g009hopzqobrps7ucthr/CONTRATO_175-16_Censurado.pdf</t>
  </si>
  <si>
    <t>https://www.zapopan.gob.mx/repositorio/view/file/jumbjcgmrlhwcytbnqtb/CONTRATO_178-16_Censurado.pdf</t>
  </si>
  <si>
    <t>https://www.zapopan.gob.mx/repositorio/view/file/bnfrzncekmalbjxlglec/CONTRATO_179-16_Censurado.pdf</t>
  </si>
  <si>
    <t>https://www.zapopan.gob.mx/repositorio/view/file/zusbvht3wxvekgper76b/CONTRATO_180-16_Censurado.pdf</t>
  </si>
  <si>
    <t>https://www.zapopan.gob.mx/repositorio/view/file/lolhuex7xttxkcnvlutx/CONTRATO_183-16_Censurado.pdf</t>
  </si>
  <si>
    <t>https://www.zapopan.gob.mx/repositorio/view/file/yysfulvzitankjbtwack/CONTRATO_184-16_Censurado.pdf</t>
  </si>
  <si>
    <t>https://www.zapopan.gob.mx/repositorio/view/file/srfdj6spckienf9pxbke/CONTRATO_186-16_Censurado.pdf</t>
  </si>
  <si>
    <t>https://www.zapopan.gob.mx/repositorio/view/file/kuqvgfmto2kcg3nzi8oq/CONTRATO_190-16_Censurado.pdf</t>
  </si>
  <si>
    <t>https://www.zapopan.gob.mx/repositorio/view/file/bsgqx31v9yan8x0clago/CONTRATO_191-16_Censurado.pdf</t>
  </si>
  <si>
    <t>https://www.zapopan.gob.mx/repositorio/view/file/udboztmrigo6y6a1idhf/CONTRATO_192-16_Censurado.pdf</t>
  </si>
  <si>
    <t>https://www.zapopan.gob.mx/repositorio/view/file/jpwwhkwpvivx4itjb4tm/CONTRATO_193-16_Censurado.pdf</t>
  </si>
  <si>
    <t>https://www.zapopan.gob.mx/repositorio/view/file/aoox5dn0rgjfb59paygp/CONTRATO_195-16_Censurado.pdf</t>
  </si>
  <si>
    <t>https://www.zapopan.gob.mx/repositorio/view/file/8n239d4ziljssg4zbsbf/CONTRATO_196-16_Censurado.pdf</t>
  </si>
  <si>
    <t>https://www.zapopan.gob.mx/repositorio/view/file/bcq4v4whd2hbctuaszsl/CONTRATO_198-16_Censurado.pdf</t>
  </si>
  <si>
    <t>https://www.zapopan.gob.mx/repositorio/view/file/fej9ee8t6y8bxcylqhlj/CONTRATO_199-16_Censurado.pdf</t>
  </si>
  <si>
    <t>https://www.zapopan.gob.mx/repositorio/view/file/ntde4btaaetfqfkv6zzs/CONTRATO_227-16_Censurado.pdf</t>
  </si>
  <si>
    <t>https://www.zapopan.gob.mx/repositorio/view/file/jcmtorw7juafvaaqm9pu/CONTRATO_245-17_Censurado.pdf</t>
  </si>
  <si>
    <t>https://www.zapopan.gob.mx/repositorio/view/file/t3uwd3lmuphi6cy9mufy/CONTRATO AD 379 2017_Censurado.pdf</t>
  </si>
  <si>
    <t>https://www.zapopan.gob.mx/repositorio/view/file/gocfumkih6ekqphdfpbo/CONTRATO_351-17_Censurado.pdf</t>
  </si>
  <si>
    <t>https://www.zapopan.gob.mx/repositorio/view/file/sqiyjkjaths8bxp3iosb/CONTRATO_346-17_Censurado.pdf</t>
  </si>
  <si>
    <t>https://www.zapopan.gob.mx/repositorio/view/file/cxtkstz7hlvss1sgfypt/CONTRATO_275-17_Censurado.pdf</t>
  </si>
  <si>
    <t>https://www.zapopan.gob.mx/repositorio/view/file/pkmmalqbx84m8smxtc2h/274-2017.pdf</t>
  </si>
  <si>
    <t>https://www.zapopan.gob.mx/repositorio/view/file/wkotjqmgbp9uxhhbrzot/CONTRATO_273-17_Censurado.pdf</t>
  </si>
  <si>
    <t>https://www.zapopan.gob.mx/repositorio/view/file/xojuemn6dmwtgn3tv1wd/CONTRATO_254-17_Censurado.pdf</t>
  </si>
  <si>
    <t>https://www.zapopan.gob.mx/repositorio/view/file/qduyjxqeepyzrvbxc3qh/234-2017.pdf</t>
  </si>
  <si>
    <t>https://www.zapopan.gob.mx/wp-content/uploads/2019/12/CO_289_2018_OP.pdf</t>
  </si>
  <si>
    <t>https://www.zapopan.gob.mx/wp-content/uploads/2019/12/CO_288_18IN_OP.pdf</t>
  </si>
  <si>
    <t>https://www.zapopan.gob.mx/wp-content/uploads/2019/12/CO_287_18_OP.pdf</t>
  </si>
  <si>
    <t>https://www.zapopan.gob.mx/wp-content/uploads/2019/12/CO_286_18_OP.pdf</t>
  </si>
  <si>
    <t>https://www.zapopan.gob.mx/wp-content/uploads/2019/12/CO_270_18_OP.pdf</t>
  </si>
  <si>
    <t>https://www.zapopan.gob.mx/wp-content/uploads/2019/12/CO_249-18IN_OP.pdf</t>
  </si>
  <si>
    <t>https://www.zapopan.gob.mx/wp-content/uploads/2019/12/CO_246_18_OP.pdf</t>
  </si>
  <si>
    <t>https://www.zapopan.gob.mx/wp-content/uploads/2019/12/CO_245_18_OP.pdf</t>
  </si>
  <si>
    <t>https://www.zapopan.gob.mx/wp-content/uploads/2019/12/CO_244_18IN_OP.pdf</t>
  </si>
  <si>
    <t>https://www.zapopan.gob.mx/wp-content/uploads/2019/12/CO_243_18_OP.pdf</t>
  </si>
  <si>
    <t>https://www.zapopan.gob.mx/wp-content/uploads/2019/12/CO_242_18_OP.pdf</t>
  </si>
  <si>
    <t>https://www.zapopan.gob.mx/wp-content/uploads/2019/12/CO_241_18IN_OP.pdf</t>
  </si>
  <si>
    <t>https://www.zapopan.gob.mx/wp-content/uploads/2019/12/CO_240_18_OP.pdf</t>
  </si>
  <si>
    <t>https://www.zapopan.gob.mx/wp-content/uploads/2019/12/CO_238_18_OP.pdf</t>
  </si>
  <si>
    <t>https://www.zapopan.gob.mx/wp-content/uploads/2019/12/CO_237-18_OP.pdf</t>
  </si>
  <si>
    <t>https://www.zapopan.gob.mx/wp-content/uploads/2019/12/CO_236_18IN_OP.pdf</t>
  </si>
  <si>
    <t>https://www.zapopan.gob.mx/wp-content/uploads/2019/12/CO_234_18_OP.pdf</t>
  </si>
  <si>
    <t>https://www.zapopan.gob.mx/wp-content/uploads/2019/12/CO_233_18_OP.pdf</t>
  </si>
  <si>
    <t>https://www.zapopan.gob.mx/wp-content/uploads/2019/12/CO_231_18_OP.pdf</t>
  </si>
  <si>
    <t>https://www.zapopan.gob.mx/wp-content/uploads/2019/12/CO_225_18_OP.pdf</t>
  </si>
  <si>
    <t>https://www.zapopan.gob.mx/wp-content/uploads/2019/12/CO_224_18_OP.pdf</t>
  </si>
  <si>
    <t>https://www.zapopan.gob.mx/wp-content/uploads/2019/12/CO_220_18_OP.pdf</t>
  </si>
  <si>
    <t>https://www.zapopan.gob.mx/wp-content/uploads/2019/12/CO_218_18IN_OP.pdf</t>
  </si>
  <si>
    <t>https://www.zapopan.gob.mx/wp-content/uploads/2019/12/CO_219_18IN_OP.pdf</t>
  </si>
  <si>
    <t>https://www.zapopan.gob.mx/wp-content/uploads/2019/12/CO_215_18_OP.pdf</t>
  </si>
  <si>
    <t>https://www.zapopan.gob.mx/wp-content/uploads/2019/12/CO_209_18_OP.pdf</t>
  </si>
  <si>
    <t>https://www.zapopan.gob.mx/wp-content/uploads/2019/12/CO_206_18IN_OP.pdf</t>
  </si>
  <si>
    <t>https://www.zapopan.gob.mx/wp-content/uploads/2019/12/CO_226_18_OP.pdf</t>
  </si>
  <si>
    <t>https://www.zapopan.gob.mx/wp-content/uploads/2019/12/CO_198_18IN_OP.pdf</t>
  </si>
  <si>
    <t>https://www.zapopan.gob.mx/wp-content/uploads/2019/12/CO_191_18IN_OP.pdf</t>
  </si>
  <si>
    <t>https://www.zapopan.gob.mx/wp-content/uploads/2019/12/CO_190_18IN_OP.pdf</t>
  </si>
  <si>
    <t>https://www.zapopan.gob.mx/wp-content/uploads/2019/12/CO_189_18IN_OP.pdf</t>
  </si>
  <si>
    <t>https://www.zapopan.gob.mx/wp-content/uploads/2019/12/CO_175_18IN_OP.pdf</t>
  </si>
  <si>
    <t>https://www.zapopan.gob.mx/wp-content/uploads/2019/12/CO_174_2018_OP.pdf</t>
  </si>
  <si>
    <t>https://www.zapopan.gob.mx/wp-content/uploads/2019/12/CO_172_2018_OP.pdf</t>
  </si>
  <si>
    <t>https://www.zapopan.gob.mx/wp-content/uploads/2019/12/CO_127_18IN_OP.pdf</t>
  </si>
  <si>
    <t>https://www.zapopan.gob.mx/wp-content/uploads/2019/12/CO_330_17_OP.pdf</t>
  </si>
  <si>
    <t>https://www.zapopan.gob.mx/wp-content/uploads/2019/12/CO_310_17IN_OP.pdf</t>
  </si>
  <si>
    <t>https://www.zapopan.gob.mx/wp-content/uploads/2019/12/CO_286_17IN_OP.pdf</t>
  </si>
  <si>
    <t>https://www.zapopan.gob.mx/wp-content/uploads/2019/12/CO_284_17_OP.pdf</t>
  </si>
  <si>
    <t>https://www.zapopan.gob.mx/wp-content/uploads/2019/12/CO_272_17_OP.pdf</t>
  </si>
  <si>
    <t>https://www.zapopan.gob.mx/wp-content/uploads/2019/12/CO_271_17_OP.pdf</t>
  </si>
  <si>
    <t>https://www.zapopan.gob.mx/wp-content/uploads/2019/12/CO_269_17_OP.pdf</t>
  </si>
  <si>
    <t>https://www.zapopan.gob.mx/wp-content/uploads/2019/12/CO_268_17_OP.pdf</t>
  </si>
  <si>
    <t>https://www.zapopan.gob.mx/wp-content/uploads/2019/12/CO_267_17_OP.pdf</t>
  </si>
  <si>
    <t>https://www.zapopan.gob.mx/wp-content/uploads/2019/12/CO_262_17_OP.pdf</t>
  </si>
  <si>
    <t>https://www.zapopan.gob.mx/wp-content/uploads/2019/12/CO_261_17_OP.pdf</t>
  </si>
  <si>
    <t>https://www.zapopan.gob.mx/wp-content/uploads/2019/12/CO_260_17_OP.pdf</t>
  </si>
  <si>
    <t>https://www.zapopan.gob.mx/wp-content/uploads/2019/12/CO_259_17_OP.pdf</t>
  </si>
  <si>
    <t>https://www.zapopan.gob.mx/wp-content/uploads/2019/12/CO_257_17_OP.pdf</t>
  </si>
  <si>
    <t>https://www.zapopan.gob.mx/wp-content/uploads/2019/12/CO_256_17_OP.pdf</t>
  </si>
  <si>
    <t>https://www.zapopan.gob.mx/wp-content/uploads/2019/12/CO_252_17_OP.pdf</t>
  </si>
  <si>
    <t>https://www.zapopan.gob.mx/wp-content/uploads/2019/12/CO_247_17_OP.pdf</t>
  </si>
  <si>
    <t>https://www.zapopan.gob.mx/wp-content/uploads/2019/12/CO_148_17_OP.pdf</t>
  </si>
  <si>
    <t>https://www.zapopan.gob.mx/wp-content/uploads/2019/12/CO_124_17_OP.pdf</t>
  </si>
  <si>
    <t>https://www.zapopan.gob.mx/wp-content/uploads/2019/12/CO_104_17_OP.pdf</t>
  </si>
  <si>
    <t>https://www.zapopan.gob.mx/wp-content/uploads/2019/12/CO_047_17IN_OP.pdf</t>
  </si>
  <si>
    <t>https://www.zapopan.gob.mx/wp-content/uploads/2019/12/CO_046_17_OP.pdf</t>
  </si>
  <si>
    <t>https://www.zapopan.gob.mx/wp-content/uploads/2019/12/CO_037_17_OP.pdf</t>
  </si>
  <si>
    <t>https://www.zapopan.gob.mx/wp-content/uploads/2019/12/CO_036_16_OP.pdf</t>
  </si>
  <si>
    <t>https://www.zapopan.gob.mx/wp-content/uploads/2019/12/CO_037_16_OP.pdf</t>
  </si>
  <si>
    <t>https://www.zapopan.gob.mx/wp-content/uploads/2019/12/CO_140_16_OP.pdf</t>
  </si>
  <si>
    <t>https://www.zapopan.gob.mx/wp-content/uploads/2019/12/CO_008_16_OP.pdf</t>
  </si>
  <si>
    <t>https://www.zapopan.gob.mx/wp-content/uploads/2019/12/CO_250_16_OP.pdf</t>
  </si>
  <si>
    <t>https://www.zapopan.gob.mx/wp-content/uploads/2019/12/CO_172_16_OP.pdf</t>
  </si>
  <si>
    <t>https://www.zapopan.gob.mx/wp-content/uploads/2019/12/CO_238_15_OP.pdf</t>
  </si>
  <si>
    <t>https://www.zapopan.gob.mx/wp-content/uploads/2021/03/CO_230_2015_OP.pdf</t>
  </si>
  <si>
    <t>https://www.zapopan.gob.mx/wp-content/uploads/2021/03/CO_236_2015_OP.pdf</t>
  </si>
  <si>
    <t>https://www.zapopan.gob.mx/wp-content/uploads/2021/03/CO_237_2015_OP.pdf</t>
  </si>
  <si>
    <t>https://www.zapopan.gob.mx/wp-content/uploads/2021/03/CO_239_2015_OP.pdf</t>
  </si>
  <si>
    <t>https://www.zapopan.gob.mx/wp-content/uploads/2021/03/CO_240_2015_OP.pdf</t>
  </si>
  <si>
    <t>https://www.zapopan.gob.mx/wp-content/uploads/2021/03/CO_242_2015_OP.pdf</t>
  </si>
  <si>
    <t>https://www.zapopan.gob.mx/wp-content/uploads/2021/03/CO_243_2015_OP.pdf</t>
  </si>
  <si>
    <t>Extra Construcciones S.A. de C.V. 
 ZAP-1184</t>
  </si>
  <si>
    <t>Grupo Constructor Inmobiliario Gucar, S.A. de C.V. 
ZAP-1377</t>
  </si>
  <si>
    <t>Galjak Arquitectos y Construcciones, S.A. de C.V. 
ZAP-0588</t>
  </si>
  <si>
    <t>Mapa Obras y Pavimentos, S.A. de C.V. 
ZAP-0926</t>
  </si>
  <si>
    <t>Construcciones Levisa, S.A. de C.V. ZAP-1829</t>
  </si>
  <si>
    <t>Uru Constructora, S.A. de C.V. 
ZAP-1957</t>
  </si>
  <si>
    <t>Constructora y Desarrolladora Barba y Asociados, S. A. de C. V.  
ZAP-1587</t>
  </si>
  <si>
    <t>Obras y Comercialización de la Construcción, S.A. de C.V.  
ZAP-0113</t>
  </si>
  <si>
    <t>Desarrolladora Glar. S.A. de C.V. 
ZAP-0604</t>
  </si>
  <si>
    <t>ARH Desarrollos Inmobiliarios, S.A. de C.V. 
ZAP-1740</t>
  </si>
  <si>
    <t>Construcciones y Edificaciones Bato, S.A. de C.V.  
ZAP-0066</t>
  </si>
  <si>
    <t>Grupo Edificador Mayab, S.A. de C.V. 
PCZ-032/2016</t>
  </si>
  <si>
    <t>Soluciones Integrales en Pavimentos de Guadalajara, S. A. de C. V. 
PCZ-012/2016</t>
  </si>
  <si>
    <t>Consorcio Constructor Adobes, S. A. de C. V. 
PCZ-004/2016</t>
  </si>
  <si>
    <t>Grupo Constructor TZOE, S. A. de C. V. 
PCZ-008/2016</t>
  </si>
  <si>
    <t>Central Edificaciones, S. A. de C. V. 
PCZ-020/2016</t>
  </si>
  <si>
    <t>Savho Consultoría y Construcción, S. A. de C. V. 
PCZ-025/2016</t>
  </si>
  <si>
    <t>IME Servicios y Suministros, S. A. de C. V. 
PCZ-007/2016</t>
  </si>
  <si>
    <t>Servicios Profesionales para la Construcción de Occidente, S. A. de C. V. 
PCZ-028/2016</t>
  </si>
  <si>
    <t>Servicios de Obras Civiles Serco, S. A. de C. V. 
PCZ-035/2016</t>
  </si>
  <si>
    <t>Construdimensión, S.A. de C.V. 
PCZ-018/2016</t>
  </si>
  <si>
    <t>Constructora de Occidente MS S. A. de C. V. 
PCZ-038/2016</t>
  </si>
  <si>
    <t>AL-Mansur Construcciones, S.A. de C.V. 
PCZ-015/2016</t>
  </si>
  <si>
    <t>Construcciones Anayari, S. A. de C. V. 
PCZ-131/2016</t>
  </si>
  <si>
    <t>Rencoist Construcciones, S. A. de C. V. 
PCZ-080/2016</t>
  </si>
  <si>
    <t>Grupo Edificador Mayab, S. A. de C. V. 
PCZ-032/2016</t>
  </si>
  <si>
    <t>Edficaciones Yazmin, S. A. de C. V.  
PCZ-146/2016</t>
  </si>
  <si>
    <t>Construcciones Citus, S. A. de C. V. 
PCZ-141/2016</t>
  </si>
  <si>
    <t>SDT Constructora S. A. de C. V. 
PCZ-147/2016</t>
  </si>
  <si>
    <t>Dommont Construcciones, S. A. de C. V. 
PCZ-133/2016</t>
  </si>
  <si>
    <t>Lizette Construcciones, S. A. de C. V. 
PCZ-045/2016</t>
  </si>
  <si>
    <t>Construcciones y Extructuras ITZ, S. A. de C. V. 
PCZ-142/2016</t>
  </si>
  <si>
    <t>Topus Ingeniería, S. A. de C. V. 
PCZ-144/2016</t>
  </si>
  <si>
    <t>Urcoma 1970, S. A. de C. V. PCZ-041/2016</t>
  </si>
  <si>
    <t>Infografía Digital de Occidente, S. A. de C. V. PCZ-178/2016</t>
  </si>
  <si>
    <t>Urcoma 1970, S. A. de C. V. 
PCZ-041/2016</t>
  </si>
  <si>
    <t>Infografía Digital de Occidente, S. A. de C. V. 
PCZ-178/2016</t>
  </si>
  <si>
    <t>Ecopav de México, S.A. de C.V.</t>
  </si>
  <si>
    <t>Grupo Desarrollador Alzu, S.A. de C.V.</t>
  </si>
  <si>
    <t>L&amp;A Ejecución, Construcción y Proyectos Corporativo JM, S.A. de C.V.</t>
  </si>
  <si>
    <t>Tekton Grupo Empresarial, S.A. de C.V.</t>
  </si>
  <si>
    <t>Construcciones Anayari, S.A. de C.V.</t>
  </si>
  <si>
    <t>Constructora Cecuchi, S.A. de C.V.</t>
  </si>
  <si>
    <t>Transcreto S.A. de C.V.</t>
  </si>
  <si>
    <t>Construcciones Mirot, S.A. de C.V.</t>
  </si>
  <si>
    <t>Tc Construcción Y Mantenimiento, S.A. de C.V.</t>
  </si>
  <si>
    <t>Fuerza de Apoyo Constructiva de Occidente, S.A. de C.V.</t>
  </si>
  <si>
    <t>Breysa Constructora, S.A. de C.V.</t>
  </si>
  <si>
    <t>Grupo Unicreto S.A. de C.V.</t>
  </si>
  <si>
    <t>Torres Aguirre Ingenieros, S.A. de C.V.</t>
  </si>
  <si>
    <t>José Antonio Cuevas Briseño</t>
  </si>
  <si>
    <t>Constructora y Edificadora Plasma, S.A. de C.V.</t>
  </si>
  <si>
    <t>Wences Construcciones, S.A. de C.V.</t>
  </si>
  <si>
    <t>GA Urbanización, S.A. de C.V.</t>
  </si>
  <si>
    <t>Constructora Rural del Pais, S.A. de C.V.</t>
  </si>
  <si>
    <t>Axioma Proyectos e Ingeniería, S. A. de C. V.</t>
  </si>
  <si>
    <t>Edificaciones Estructurales Cobay, S. A. de C. V.</t>
  </si>
  <si>
    <t>Grupo Constructor MR de Jalisco, S. A. de C. V.</t>
  </si>
  <si>
    <t>Ing. David Ledesma Martin Del Campo</t>
  </si>
  <si>
    <t>Ineco Construye, S.A. de C.V.</t>
  </si>
  <si>
    <t>Quercus Geosoluciones, S.A. de C.V.</t>
  </si>
  <si>
    <t>Divicon, S.A. de C.V.</t>
  </si>
  <si>
    <t>Stella Construcciones, S.A. de C.V.</t>
  </si>
  <si>
    <t>Felal Construcciones, S.A. de C.V.</t>
  </si>
  <si>
    <t>Gilco Ingeniería, S.A. de C.V.</t>
  </si>
  <si>
    <t>Constructores en Corporación, S.A. de C.V.</t>
  </si>
  <si>
    <t>Keops Ingenieria y Construccion, S.A. de C.V.</t>
  </si>
  <si>
    <t>Extra Construcciones, S.A. de C.V.</t>
  </si>
  <si>
    <t>Grupo Edificador Mayab, S.A. de C.V.</t>
  </si>
  <si>
    <t>Constructora Erlort y Asociados, S.A. de C.V.</t>
  </si>
  <si>
    <t>Sicosa, S.A. de C.V.</t>
  </si>
  <si>
    <t>Urbanizacion y Construccion Avanzada, S.A. de C.V.</t>
  </si>
  <si>
    <t>Grupo Nuveco, S.A. de C.V.</t>
  </si>
  <si>
    <t>Aro Asfaltos y Riegos de Occidente, S.A. de C.V.</t>
  </si>
  <si>
    <t xml:space="preserve">Constructora y Desarrolladora Barba y Asociados, S. A. de C. V. </t>
  </si>
  <si>
    <t>Grupo Unicreto de México S.A. de C.V.</t>
  </si>
  <si>
    <t>Dommont Construcciones, S.A. de C.V.</t>
  </si>
  <si>
    <t>Control de Calidad de Materiales San Agustin de Hipona, S.A. de C.V.</t>
  </si>
  <si>
    <t>Urbanizadora y Constructora Roal, S.A. de C.V.</t>
  </si>
  <si>
    <t>Construcciones  Electrificaciones y Arrendamiento de Maquinaria S.A. de C.V.</t>
  </si>
  <si>
    <t>Consorcio Constructor Adobes, S. A. de C. V.</t>
  </si>
  <si>
    <t>Desarrolladora Glar, S.A. de C.V.</t>
  </si>
  <si>
    <t xml:space="preserve">Construcciones ICU, S.A. de C.V. </t>
  </si>
  <si>
    <t>Urdem, S.A. de C.V.</t>
  </si>
  <si>
    <t>Kalmani Constructora, S.A. de C.V.</t>
  </si>
  <si>
    <t>Karol Urbanizaciones y Construcciones, S.A. de C.V.</t>
  </si>
  <si>
    <t>Grial Construcciones, S.A. de C.V.</t>
  </si>
  <si>
    <t>Ingenieros De la Torre, S.A. de C.V.</t>
  </si>
  <si>
    <t>Imaqsa, S.A. de C.V.</t>
  </si>
  <si>
    <t>Aspavi, S.A. de C.V.</t>
  </si>
  <si>
    <t>Servicios de Obras Civiles Serco, S.A. de C.V.</t>
  </si>
  <si>
    <t>Savho Consultoría y Construcción, S.A. de C.V.</t>
  </si>
  <si>
    <t>Euro Trade, S.A. de C.V.</t>
  </si>
  <si>
    <t>CCR Ingenieros, S.A. de C.V.</t>
  </si>
  <si>
    <t>Constructora San Sebastián, S.A. de C.V. en asociación en participación  con Desarrolladores Verde Vallarta, S.A. de C.V.</t>
  </si>
  <si>
    <t>Desarrolladora Lumadi, S.A. de C.V.</t>
  </si>
  <si>
    <t>Ramper Drilling, S.A. de C.V.</t>
  </si>
  <si>
    <t>Alcor de Occidente, S.A. de C.V.</t>
  </si>
  <si>
    <t>Durán Jiménez Arquitectos y Asociados, S.A. de C.V.</t>
  </si>
  <si>
    <t>Grupo la Fuente, S.A. de C.V.</t>
  </si>
  <si>
    <t xml:space="preserve">IME Servicios y Suministros, S. A. de C. V. </t>
  </si>
  <si>
    <t>RS Obras y Servicios, S.A. de C.V.</t>
  </si>
  <si>
    <t>Inmobiliaria Bochum S. de R.L. de C.V.</t>
  </si>
  <si>
    <t>Constructora Pecru, S.A. de C.V.</t>
  </si>
  <si>
    <t>Constructora Lasa, S.A. de C.V.</t>
  </si>
  <si>
    <t>Balken, S.A. de C.V.</t>
  </si>
  <si>
    <t>Constructora y Urbanizadora Arista, S.A. de C.V.</t>
  </si>
  <si>
    <t>Firmitas Constructa, S.A. de C.V.</t>
  </si>
  <si>
    <t>Regino Ruiz del Campo Medina</t>
  </si>
  <si>
    <t>Constructora Industrial Chávez S.A. de C.V.</t>
  </si>
  <si>
    <t>Asfaltos Selectos de Ocotlán, S.A. de C.V.</t>
  </si>
  <si>
    <t>Alquimia Grupo Constructor, S.A. de C.V.</t>
  </si>
  <si>
    <t>Birmek Construcciones, S.A. de C.V.</t>
  </si>
  <si>
    <t>Desarrollos Vicsa, S.A. de C.V.</t>
  </si>
  <si>
    <t>Grupo Constructor los Muros, S.A. de C.V.</t>
  </si>
  <si>
    <t xml:space="preserve">Consorcio Constructor Adobes, S. A. de C. V. </t>
  </si>
  <si>
    <t>José Omar Fernández Vázquez</t>
  </si>
  <si>
    <t>RS Obras y Servicios S.A. de C.V.</t>
  </si>
  <si>
    <t>Firmitas Constructa, S.A de C.V.</t>
  </si>
  <si>
    <t>PROYECTOS ARQUITECTONICOS TRIANGULO, S.A. DE C.V.</t>
  </si>
  <si>
    <t>LUGO IBARRA CONSORCIO CONSTRUCTOR, S.A. DE C.V.</t>
  </si>
  <si>
    <t>GRUPO ARQUITECTOS TOUSSAINT Y ORENDAIN SC</t>
  </si>
  <si>
    <t>GLOBAL CONSTRUCCIONES Y CONSULTORIA, S.A. DE C.V.</t>
  </si>
  <si>
    <t>Edificaciones y Proyectos Roca, S.A. de C.V.</t>
  </si>
  <si>
    <t>PyP Constructora, S.A. de C.V.</t>
  </si>
  <si>
    <t>Pixide Constructora, S.A. de C.V.</t>
  </si>
  <si>
    <t>Secoi Construcciones y Servicios, S.A. de C.V.</t>
  </si>
  <si>
    <t>Servicios Metropolitanos de Jalisco, S.A. de C.V.</t>
  </si>
  <si>
    <t>MTQ de México, S.A. de C.V.</t>
  </si>
  <si>
    <t>Rencoist Construcciones, S.A. de C.V.</t>
  </si>
  <si>
    <t>Grupo Constructor Felca, S.A. de C.V.</t>
  </si>
  <si>
    <t>Secri Constructora, S.A. de C.V.</t>
  </si>
  <si>
    <t>Edificaciones y Transformaciones Técnicas, S.A. de C.V.</t>
  </si>
  <si>
    <t>Constructora San Sebastián, S.A. de C.V.</t>
  </si>
  <si>
    <t>Aedificant, S.A. de C.V.</t>
  </si>
  <si>
    <t>Procourza, S.A. de C.V.</t>
  </si>
  <si>
    <t>ESTRUCTURAS Y DISEÑOS DEL SOL, S.A. DE C.V.</t>
  </si>
  <si>
    <t>PARED URBANA, S.A. DE C.V.</t>
  </si>
  <si>
    <t>TOSCANA INGENIERIA, S. A.  DE C.V.</t>
  </si>
  <si>
    <t>GREEN PATCHER MEXICO, S. DE R.L. DE C.V.</t>
  </si>
  <si>
    <t>GRUPO CONSTRUCTOR GLEOSS, S.A. DE C.V.</t>
  </si>
  <si>
    <t>VELAZQUEZ INGENIERIA ECOLOGICA, S.A. DE C.V.</t>
  </si>
  <si>
    <t>CONSTRUCCIONES  ELECTRIFICACIONES Y ARRENDAMIENTO DE MAQUINARIA S.A. DE C.V.</t>
  </si>
  <si>
    <t>GRUPO PG CONSTRUCTORES Y SUPERVISORES, S.A. DE C.V.</t>
  </si>
  <si>
    <t>GRUPO V Y CG, S.A. DE C.V.</t>
  </si>
  <si>
    <t>Proyección Integral Zure, S.A. de C.V.</t>
  </si>
  <si>
    <t>CONSTRUCCIONES CITUS, S.A. DE C.V.</t>
  </si>
  <si>
    <t>Manjarrez Urbanizaciones, S.A. de C.V.</t>
  </si>
  <si>
    <t>HUGO RAFAEL CABRERA ORTINEZ</t>
  </si>
  <si>
    <t>QUERCUS GEOSOLUCIONES, S.A. DE C.V.</t>
  </si>
  <si>
    <t>QUANTUM CONSTRUCTORES Y PROYECTOS, S.A. DE C.V.</t>
  </si>
  <si>
    <t>GRUPO CONSTRUCTOR MR DE JALISCO S.A. DE C.V.</t>
  </si>
  <si>
    <t>PROMACO DE MEXICO, S.A. DE C.V.</t>
  </si>
  <si>
    <t>EURO TRADE, S.A. DE C.V.</t>
  </si>
  <si>
    <t>CONSTRUCTORA Y URBANIZADORA CEDA, S.A. DE C.V.</t>
  </si>
  <si>
    <t>CONSTRUCTORA Y EDIFICADORA PLASMA, S.A. DE C.V.</t>
  </si>
  <si>
    <t>TASUM SOLUCIONES EN CONSTRUCCION, S.A. DE C.V.</t>
  </si>
  <si>
    <t>CONSTRUCTORA JMA, S.A. DE C.V.</t>
  </si>
  <si>
    <t>BIRMEK CONSTRUCCIONES, S.A. DE C.V.</t>
  </si>
  <si>
    <t>LIZETTE CONSTRUCCIONES, S.A. DE C.V.</t>
  </si>
  <si>
    <t>NEOINGENIERIA, S.A. DE C.V.</t>
  </si>
  <si>
    <t>DI.COB, S.A. DE C.V.</t>
  </si>
  <si>
    <t>GILCO INGENIERIA, S.A. DE C.V.</t>
  </si>
  <si>
    <t>A. &amp; G. URBANIZADORA, S.A. DE C.V.</t>
  </si>
  <si>
    <t>FUTUROBRAS, S.A. DE C.V.</t>
  </si>
  <si>
    <t>EQUIPO MANTENIMIENTO Y PLANEACION ELECTRICA, S.A. DE C.V.</t>
  </si>
  <si>
    <t>FAUSTO GARNICA PADILLA</t>
  </si>
  <si>
    <t>SINERGIA URBANA, S.A. DE C.V.</t>
  </si>
  <si>
    <t>TRAMA CONSTRUCTORA Y MAQUINARIA, S.A. DE C.V.</t>
  </si>
  <si>
    <t>SERVICIOS DE INGENIERIA APLICADA, S.A. DE C.V.</t>
  </si>
  <si>
    <t>IME SERVICIOS Y SUMINISTROS, S.A. DE C.V.</t>
  </si>
  <si>
    <t>JALCO ILUMINACION, S.A. DE C.V.</t>
  </si>
  <si>
    <t xml:space="preserve">ARH DESARROLLOS INMOBILIARIOS, S.A. DE C.V. </t>
  </si>
  <si>
    <t>CORPORATIVO ALMIRA DE JALISCO, S.A. DE C.V.</t>
  </si>
  <si>
    <t>JAVAX CONSULTORES, S.A. DE C.V.</t>
  </si>
  <si>
    <t>CONSTRUCCION GG, S.A. DE C.V.</t>
  </si>
  <si>
    <t>SEGURA URBANO  DANIEL</t>
  </si>
  <si>
    <t>CONSTRUCCIONES ANAYARI, S.A. DE C.V.</t>
  </si>
  <si>
    <t>CONSTRUCTORA ACUIFERO, S.A. DE C.V.</t>
  </si>
  <si>
    <t>Manjarrez Urbanizaciones, S.A. de C.V. PCZ-093/2016</t>
  </si>
  <si>
    <t>Colegio de Ingenieros Civiles del Estado de Jalisco, A. C. PCZ-480/2017</t>
  </si>
  <si>
    <t>Rene Caro Gómez</t>
  </si>
  <si>
    <t>David Ledesma Martin Del Campo</t>
  </si>
  <si>
    <t>Fausto Garnica Padilla</t>
  </si>
  <si>
    <t>Acaspoluca Consultoría y Construcción, S. A. de C. V.</t>
  </si>
  <si>
    <t>Aspavi, S. A. de C. V.</t>
  </si>
  <si>
    <t>Transcreto, S. A. de C. V.</t>
  </si>
  <si>
    <t>Duran Jiménez Arquitectos, S. A. de C. V.</t>
  </si>
  <si>
    <t>Tekton Grupo Empresarial, S. A. de C. V.</t>
  </si>
  <si>
    <t>Urcoma 1970, S. A. de C. V.</t>
  </si>
  <si>
    <t>Grupo Desarrollador Alzu, S. A. de C. V.</t>
  </si>
  <si>
    <t>Euro Trade, S. A. de C. V.</t>
  </si>
  <si>
    <t>GA Urbanización, S. A. de C. V.</t>
  </si>
  <si>
    <t>Edificaciones y Proyectos Roca, S. A. de C. V.</t>
  </si>
  <si>
    <t>B&amp;G Construcción y Rehabilitación de Redes, S. A. de C. V.</t>
  </si>
  <si>
    <t>Promaco de México, S. A. de C. V.</t>
  </si>
  <si>
    <t>Kalmani Constructora, S. A. de C. V.</t>
  </si>
  <si>
    <t>CME Calidad, Modelo de Eficacia, S. A. de C. V.</t>
  </si>
  <si>
    <t>Mapa Obras y Pavimentos, S.A. de C.V.</t>
  </si>
  <si>
    <t>Construcciones Icu, S. A. de C. V</t>
  </si>
  <si>
    <t>Megaenlace Construcciones, S. A. de C. V.</t>
  </si>
  <si>
    <t>Construbravo, S. A. de C. V.</t>
  </si>
  <si>
    <t>Secri Constructora, S. A. de C. V.</t>
  </si>
  <si>
    <t>Constructora Tesisteka, S.A. de C.V.</t>
  </si>
  <si>
    <t>Grupo Unicreto de México, S.A. de C.V.</t>
  </si>
  <si>
    <t>Constructora Rural del País, S. A. de C. V.</t>
  </si>
  <si>
    <t>Lizette Construcciones, S. A. de C. V.</t>
  </si>
  <si>
    <t>Proyección Integral Zure, S. A. de C. V.</t>
  </si>
  <si>
    <t>Desarrolladora Fulham S. de R.L. de C.V.</t>
  </si>
  <si>
    <t>Geminis Internacional Constructora, S.A. de C.V.</t>
  </si>
  <si>
    <t>Grupo Constructor Innoblack,
S. A. de C. V.</t>
  </si>
  <si>
    <t>Velázquez Ingeniería Ecológica, S. A. de C. V.</t>
  </si>
  <si>
    <t>L &amp; A Ejecución Construcción y Proyectos Coorporativo JM, S. A. de C. V.</t>
  </si>
  <si>
    <t>Construdimensión, S.A. de C.V.</t>
  </si>
  <si>
    <t>SERVICIOS DE OBRAS CIVILES SERCO, S.A. DE C.V.</t>
  </si>
  <si>
    <t>INGENIEROS DE LA TORRE, S.A. DE C.V.</t>
  </si>
  <si>
    <t>TRIPOLI EMULSIONES, S.A. DE C.V.</t>
  </si>
  <si>
    <t>CONSTRUMOVA, S.A. P.I. DE C.V.</t>
  </si>
  <si>
    <t>SERVICIOS PROFESIONALES PARA LA CONSTRUCCIÓN DE OCCIDENTE, S.A. DE C.V.</t>
  </si>
  <si>
    <t>MAPA OBRAS Y PAVIMENTOS, S.A. DE C.V.</t>
  </si>
  <si>
    <t>DAVID LEDESMA MARTIN DEL CAMPO</t>
  </si>
  <si>
    <t>CONSORCIO CONSTRUCTOR ADOBES, S.A. DE C.V.</t>
  </si>
  <si>
    <t>I+A INGENIERIA Y ARQUITECTURA CONSTRUCCION Y PROYECTOS, S. DE R.L. DE C.V.</t>
  </si>
  <si>
    <t>CONSTRUCTORA Y URBANIZADORA PROYEXEM, S.A. DE C.V.</t>
  </si>
  <si>
    <t>TAG SOLUCIONES INTEGRALES, S.A. DE C.V.</t>
  </si>
  <si>
    <t>CERRO VIEJO CONSTRUCCIONES, S.A. DE C.V.</t>
  </si>
  <si>
    <t>CONSTRUCCIÓNES PÉREZ Y GIL, S.A. DE C.V.</t>
  </si>
  <si>
    <t>GRUPO LA FUENTE, S.A. DE C.V.</t>
  </si>
  <si>
    <t>SERVICIOS TOPOGRAFICOS ESPECIALIZADOS, S.A. DE C.V.</t>
  </si>
  <si>
    <t>CONSTRUCTORA VICO, S.A. DE C.V.</t>
  </si>
  <si>
    <t>GRUPO EDIFICADOR MAYAB, S.A. DE C.V.</t>
  </si>
  <si>
    <t>VELERO PAVIMENTACION Y CONSTRUCCION S.A. DE C.V.</t>
  </si>
  <si>
    <t>URCOMA 1970, S.A. DE C.V.</t>
  </si>
  <si>
    <t>CONSTRUCTORA AUTLENSE, S.A. DE C.V.</t>
  </si>
  <si>
    <t>RENCOIST CONSTRUCCIÓNES, S.A. DE C.V.</t>
  </si>
  <si>
    <t>CONSTRUCCIONES TECNICAS DE OCCIDENTE, S.A. DE C.V.</t>
  </si>
  <si>
    <t>AXIOMA PROYECTOS E INGENIERIA, S.A. DE C.V.</t>
  </si>
  <si>
    <t>TC CONSTRUCCIÓN Y MANTENIMIENTO, S.A. DE C.V.</t>
  </si>
  <si>
    <t>CINCO CONTEMPORANEA, S.A. DE C.V.</t>
  </si>
  <si>
    <t>GLOBAL CONSTRUCCIÓNES Y CONSULTORIA, S.A. DE C.V.</t>
  </si>
  <si>
    <t>GRUPO CONSTRUCTOR HISACA, S.A. DE C.V.</t>
  </si>
  <si>
    <t>PROYECTOS Y CONSTRUCCIONES CUPE, S.A. DE C.V.</t>
  </si>
  <si>
    <t>VACO GRUPO TECNICO DE CONSTRUCCIONES, S.A. DE C.V.</t>
  </si>
  <si>
    <t>ARO ASFALTOS Y RIEGOS DE OCCIDENTE, S.A. DE C.V.</t>
  </si>
  <si>
    <t>BACHEO JET, S.A. DE C.V.</t>
  </si>
  <si>
    <t>CONSTRUCTORA SBF, S.A. DE C.V.</t>
  </si>
  <si>
    <t>VALIKA CONSTRUCTORA, S.A. DE C.V.</t>
  </si>
  <si>
    <t>CONSTRUCCIONES Y RENTAS DE MAQUINARIA DE OCCIDENTE, S.A. DE C.V.</t>
  </si>
  <si>
    <t>ALQUIMIA GRUPO CONSTRUCTOR, S.A. DE C.V.</t>
  </si>
  <si>
    <t>FOGU GRUPO CONSTRUCTOR, S.A. DE C.V.</t>
  </si>
  <si>
    <t>EXTRA CONSTRUCCIÓNES, S.A. DE C.V.</t>
  </si>
  <si>
    <t>MEGAENLACE CONSTRUCCIÓNES S.A. DE C.V.</t>
  </si>
  <si>
    <t>CONSTRUCTORA Y DESARROLLADORA BARBA Y ASOCIADOS, S.A. DE C.V.</t>
  </si>
  <si>
    <t>METRO ASFALTOS, S.A. DE C.V.</t>
  </si>
  <si>
    <t>DOMMONT CONSTRUCCIÓNES, S.A. DE C.V.</t>
  </si>
  <si>
    <t>OBRAS Y COMERCIALIZACION DE LA CONSTRUCCIÓN, S.A. DE C.V.</t>
  </si>
  <si>
    <t>DESARROLLADORA FULHAM S. DE R.L. DE C.V.</t>
  </si>
  <si>
    <t>PROCOURZA, S.A. DE C.V.</t>
  </si>
  <si>
    <t>COMERCIALIZADORA POLIGONO, S..A DE C.V.</t>
  </si>
  <si>
    <t>CIARCO CONSTRUCTORA, S.A. DE C.V.</t>
  </si>
  <si>
    <t>FIRMITAS CONSTRUCTA, S.A. DE C.V.</t>
  </si>
  <si>
    <t>CADACO CONSTRUCCIÓNES, S.A. DE C.V.</t>
  </si>
  <si>
    <t>HEMAC TELEINFORMATICA, S.A DE C.V.</t>
  </si>
  <si>
    <t>CONSTRUCCIÓNES MIROT, S.A. DE C.V.</t>
  </si>
  <si>
    <t>CONSTRUCCIÓNES  ELECTRIFICACIONES Y ARRENDAMIENTO DE MAQUINARIA S.A. DE C.V.</t>
  </si>
  <si>
    <t>KP CONSTRUCTORA E INMOBILIARIA, S.A. DE C.V.</t>
  </si>
  <si>
    <t>ESTUDIO PI. S.C.</t>
  </si>
  <si>
    <t>CONSTRUCTORA RURAL DEL PAIS, S.A. DE C.V.</t>
  </si>
  <si>
    <t>ESTUDIOS SISTEMAS Y CONSTRUCCIÓNES, S.A. DE C.V.</t>
  </si>
  <si>
    <t>PROTOTIPOS COMPETITIVOS, S.A. DE C.V.</t>
  </si>
  <si>
    <t>ITERACION, S.A. DE C.V.</t>
  </si>
  <si>
    <t>DISTRIBUIDORA CORALCO, S.A. DE C.V.</t>
  </si>
  <si>
    <t>EDIFICACIONES Y CONSTRUCCIÓNES LEALES, S.A. DE C.V.</t>
  </si>
  <si>
    <t>INFOGRAFIA DIGITAL DE OCCIDENTE, S.A. DE C.V.</t>
  </si>
  <si>
    <t>CEIESE CONSTRUCCIÓN Y EDIFICACION, S.A. DE C.V.</t>
  </si>
  <si>
    <t>SKIP EDIFICACIONES, S.A. DE C.V.</t>
  </si>
  <si>
    <t>AL-MANSUR CONSTRUCCIONES, S.A. DE C.V.</t>
  </si>
  <si>
    <t>VELERO PAVIMENTACION Y CONSTRUCCIÓN S.A. DE C.V.</t>
  </si>
  <si>
    <t>CEELE CONSTRUCCIÓNES, S.A. DE C.V.</t>
  </si>
  <si>
    <t>RICARDO GONZÁLEZ CARRANZA</t>
  </si>
  <si>
    <t>JESÚS SOCRATES ZATARIN OROZCO</t>
  </si>
  <si>
    <t>JOSÉ OMAR FERNÁNDEZ VÁZQUEZ</t>
  </si>
  <si>
    <t>URBANIZACION Y CONSTRUCCIÓN AVANZADA, S.A. DE C.V.</t>
  </si>
  <si>
    <t>MEDGAR CONSTRUCCIONES, S.A. DE C.V.</t>
  </si>
  <si>
    <t>TASUM SOLUCIONES EN CONSTRUCCIÓN, S.A. DE C.V.</t>
  </si>
  <si>
    <t>AEDIFICANT, S.A. DE C.V.</t>
  </si>
  <si>
    <t>RIVERA CONSTRUCCIÓNES, S.A. DE C.V.</t>
  </si>
  <si>
    <t>ANDRÉS ESCOBEDO LÓPEZ</t>
  </si>
  <si>
    <t>SECOI CONSTRUCCIÓNES Y SERVICIOS , S.A. DE C.V.</t>
  </si>
  <si>
    <t>CONSTRUCTORES  RCS S.A. DE C.V.</t>
  </si>
  <si>
    <t>URBANIZACIONES INZUNZA, S.A. DE C.V.</t>
  </si>
  <si>
    <t>LIZETTE CONSTRUCCIÓNES, S.A. DE C.V.</t>
  </si>
  <si>
    <t>MTQ DE MÉXICO, S.A. DE C.V.</t>
  </si>
  <si>
    <t>CENTRAL EDIFICACIONES, S.A. DE C.V.</t>
  </si>
  <si>
    <t>ARQUITECTOS DEL SUR, S.A. DE C.V.</t>
  </si>
  <si>
    <t>GRUPO CONSTRUCTOR OBINARQ, S.A. DE C.V.</t>
  </si>
  <si>
    <t>ARQUITECTURA Y ESPACIOS BEDA, S.A. DE C.V.</t>
  </si>
  <si>
    <t>CONSTRUCTIO GERENS, S.A. DE C.V.</t>
  </si>
  <si>
    <t>ARQUITECTOS  Y OBRAS PERDURABLES, S.A. DE C.V.</t>
  </si>
  <si>
    <t>SICOSA, S.A. DE C.V.</t>
  </si>
  <si>
    <t>PROMOTORA Y EDIFICADORA SIERRA BLANCA S.A. DE C.V.</t>
  </si>
  <si>
    <t>GALJACK ARQUITECTOS Y CONSTRUCCIONES, S.A. DE C.V.</t>
  </si>
  <si>
    <t>INGENIERIA Y SISTEMAS DE INFRAESTRUCTURA, S.A. DE C.V.</t>
  </si>
  <si>
    <t>EPSIC, ESTUDIOS, PROYECTOS Y SERVICIOS INTEGRADOS PARA LA CONSTRUCCIÓN, S.A. DE C.V.</t>
  </si>
  <si>
    <t>DEINCOKWI, S.A. DE C.V.</t>
  </si>
  <si>
    <t>GP WILLIAMS ADMON, S.A. DE C.V.</t>
  </si>
  <si>
    <t>ALFREDO FLORES CHÁVEZ</t>
  </si>
  <si>
    <t>PROYECTOS Y CONSTRUCCIÓNES BELA, S.A. DE C.V.</t>
  </si>
  <si>
    <t xml:space="preserve">ESTUDIOS, PROYECTOS Y SEÑALIZACION VIAL, S.A. DE C.V. </t>
  </si>
  <si>
    <t>CARJAU, S.A. DE C.V.</t>
  </si>
  <si>
    <t>INFRAESTRUCTURA HIDRAULICA Y SERVICIOS, S.A. DE C.V.</t>
  </si>
  <si>
    <t>GRUPO CONSTRUCTOR STRADE, S.A. DE C.V.</t>
  </si>
  <si>
    <t>EDIFICACIONES Y VIVIENDA, S.A. DE C.V.</t>
  </si>
  <si>
    <t>ARKAL GRUPO CONSTRUCTOR, S.A. DE C.V.</t>
  </si>
  <si>
    <t>SJ LAGOS CONSTRUCTORA E INMOBILIARIA, S.A. DE C.V.</t>
  </si>
  <si>
    <t>CERRO VIEJO CONSTRUCCIÓNES, S.A. DE C.V.</t>
  </si>
  <si>
    <t>DIVICON, S.A. DE C.V.</t>
  </si>
  <si>
    <t>GGV INVERSIONES, S.A. DE C.V.</t>
  </si>
  <si>
    <t>KALMANI CONSTRUCTORA, S.A. DE C.V.</t>
  </si>
  <si>
    <t xml:space="preserve">PARÁBOLA ESTUDIOS, S.A. DE C.V. </t>
  </si>
  <si>
    <t>CONSTRUCCIÓNES Y RENTAS DE MAQUINARIA DE OCCIDENTE, S.A. DE C.V.</t>
  </si>
  <si>
    <t>PROMACO DE MÉXICO, S.A. DE C.V.</t>
  </si>
  <si>
    <t>METROPOLIZADORA DE SERVICIOS PARA LA CONSTRUCCION, S.A. DE C.V.</t>
  </si>
  <si>
    <t>EDH INGENIERIA Y DISEÑO, S.A. DE C.V.</t>
  </si>
  <si>
    <t>JAVIER HIPÓLITO COVARRUBIAS QUEZADA</t>
  </si>
  <si>
    <t>E.S. GRUPO CONSTRUCTOR, S.A. DE C.V.</t>
  </si>
  <si>
    <t>CONSTRUCCIÓNES E INGENIERIA EL CIPRES, S.A. DE C.V.</t>
  </si>
  <si>
    <t>GRUPO CONSTRUCTOR DE LA REGION, S.A. DE C.V.</t>
  </si>
  <si>
    <t>WERK Y CONSTRUCCIONES, S.A. DE C.V.</t>
  </si>
  <si>
    <t>GRUPO CONSTRUCTOR TZOE, S.A. DE C.V.</t>
  </si>
  <si>
    <t>J&amp;L ASESORIA Y SERVICIOS, S.A. DE C.V.</t>
  </si>
  <si>
    <t xml:space="preserve">CONSTRUCCIONES ICU, S.A. DE C.V. </t>
  </si>
  <si>
    <t>MADISON CONSTRUCTORES, S.A. DE C.V.</t>
  </si>
  <si>
    <t>DISEÑO E INGENIERÍA DE PAVIMENTOS DIP, S.A. DE C.V.</t>
  </si>
  <si>
    <t>CONSTRUMAQ, S.A. DE C.V.</t>
  </si>
  <si>
    <t>EDIFICACIONES CALIA, S.A. DE C.V.</t>
  </si>
  <si>
    <t>PARQUES Y JARDINES URBANOS, S.A. DE C.V.</t>
  </si>
  <si>
    <t>CONSORCIO CONSTRUCTOR CACEB, S.A. DE C.V.</t>
  </si>
  <si>
    <t>FG CONSTRUCCIONES Y PAVIMENTACIONES, S.A. DE C.V.</t>
  </si>
  <si>
    <t>CONSTRUCCIÓN GG, S.A. DE C.V.</t>
  </si>
  <si>
    <t>INGENIERIA EN MECANICA DE SUELOS Y CONTROL DE OCCIDENTE, S.A. DE C.V.</t>
  </si>
  <si>
    <t>CONSTRUCTORA GRINA, S.A. DE C.V.</t>
  </si>
  <si>
    <t>EMULSIONES SELLOS Y PAVIMENTOS ASFALTICOS, S.A. DE C.V.</t>
  </si>
  <si>
    <t>IMAQSA, S.A. DE C.V.</t>
  </si>
  <si>
    <t>PAVIMENTOS INDUSTRIALES Y URBANIZACIONES, S.A. DE C.V.</t>
  </si>
  <si>
    <t>CONSTRUCCIÓNES Y EXTRUCTURAS ITZ, S.A. DE C.V.</t>
  </si>
  <si>
    <t>JOSÉ ANTONIO CUEVAS BRISEÑO</t>
  </si>
  <si>
    <t>CONSORCIO CONSTRUCTOR VALVULA S.A. DE C.V.</t>
  </si>
  <si>
    <t>OBRAS Y PROYECTOS ACUARIO, S.A. DE C.V.</t>
  </si>
  <si>
    <t>2MH CONSTRUCTORES, S.A. DE C.V.</t>
  </si>
  <si>
    <t>ARQUITECTURA Y DISEÑO EN ARMONIA, S.A. DE C.V.</t>
  </si>
  <si>
    <t>https://www.zapopan.gob.mx/wp-content/uploads/2021/03/CO_027_2016_OP.pdf</t>
  </si>
  <si>
    <t>https://www.zapopan.gob.mx/wp-content/uploads/2021/03/CO_069_2016_OP.pdf</t>
  </si>
  <si>
    <t>De la Peña</t>
  </si>
  <si>
    <t>https://www.zapopan.gob.mx/wp-content/uploads/2021/05/Contrato_017_2016_VP.pdf</t>
  </si>
  <si>
    <t>https://www.zapopan.gob.mx/wp-content/uploads/2021/05/Contrato_042_2016_VP.pdf</t>
  </si>
  <si>
    <t>https://www.zapopan.gob.mx/wp-content/uploads/2021/05/Contrato_141_2016_VP.pdf</t>
  </si>
  <si>
    <t>https://www.zapopan.gob.mx/wp-content/uploads/2021/05/Contrato_142_2016_VP.pdf</t>
  </si>
  <si>
    <t>https://www.zapopan.gob.mx/wp-content/uploads/2021/05/Contrato_143_2016_VP.pdf</t>
  </si>
  <si>
    <t>https://www.zapopan.gob.mx/wp-content/uploads/2021/05/Contrato_188_2016_VP.pdf</t>
  </si>
  <si>
    <t>https://www.zapopan.gob.mx/wp-content/uploads/2021/05/Contrato_239_2016_VP.pdf</t>
  </si>
  <si>
    <t>https://www.zapopan.gob.mx/wp-content/uploads/2021/05/Contrato_053_2017_VP.pdf</t>
  </si>
  <si>
    <t>https://www.zapopan.gob.mx/wp-content/uploads/2021/05/Contrato_054_2017_VP.pdf</t>
  </si>
  <si>
    <t>https://www.zapopan.gob.mx/wp-content/uploads/2021/05/Contrato_242_2017_VP.pdf</t>
  </si>
  <si>
    <t>https://www.zapopan.gob.mx/wp-content/uploads/2021/05/Contrato_303_2017_VP.pdf</t>
  </si>
  <si>
    <t>https://www.zapopan.gob.mx/wp-content/uploads/2021/05/Contrato_337_2017_VP.pdf</t>
  </si>
  <si>
    <t>https://www.zapopan.gob.mx/wp-content/uploads/2021/05/Contrato_341_2017_VP.pdf</t>
  </si>
  <si>
    <t>https://www.zapopan.gob.mx/wp-content/uploads/2021/05/Contrato_342_2017_VP.pdf</t>
  </si>
  <si>
    <t>https://www.zapopan.gob.mx/wp-content/uploads/2021/05/Contrato_232_2018_VP.pdf</t>
  </si>
  <si>
    <t>https://www.zapopan.gob.mx/wp-content/uploads/2021/05/Contrato_266_2018_VP.pdf</t>
  </si>
  <si>
    <t>https://www.zapopan.gob.mx/wp-content/uploads/2021/05/Contrato_276_2018_VP.pdf</t>
  </si>
  <si>
    <t>https://www.zapopan.gob.mx/wp-content/uploads/2021/05/Contrato_189_2016_VP-1.pdf</t>
  </si>
  <si>
    <t>https://www.zapopan.gob.mx/wp-content/uploads/2021/05/Convenio_Modificatorio_017_2016_VP.pdf</t>
  </si>
  <si>
    <t>https://www.zapopan.gob.mx/wp-content/uploads/2021/05/Convenio_Modificatorio_042_2016_VP.pdf</t>
  </si>
  <si>
    <t>https://www.zapopan.gob.mx/wp-content/uploads/2021/05/Convenio_Modificatorio_141_2016_VP.pdf</t>
  </si>
  <si>
    <t>https://www.zapopan.gob.mx/wp-content/uploads/2021/05/Convenio_Modificatorio_189_2016_VP.pdf</t>
  </si>
  <si>
    <t>https://www.zapopan.gob.mx/wp-content/uploads/2021/06/Convenio_Modificatorio_140_2016.pdf</t>
  </si>
  <si>
    <t>https://www.zapopan.gob.mx/wp-content/uploads/2021/07/Contrato_Modificatorio_191_2018_VP.pdf</t>
  </si>
  <si>
    <t>DOPI-MUN-RM-OC-AD-053-2017</t>
  </si>
  <si>
    <t>DOPI-MUN-RM-OC-AD-054-2017</t>
  </si>
  <si>
    <t>DOPI-MUN-RM-PAV-AD-232-2018</t>
  </si>
  <si>
    <t>DOPI-MUN-R33-SERV-AD-266-2018</t>
  </si>
  <si>
    <t>DOPI-MUN-R33-SERV-AD-276-2018</t>
  </si>
  <si>
    <t>Ramo 33 
(FAIS 2015)</t>
  </si>
  <si>
    <t>Ramo 33 
(FORTAMUN 2016)</t>
  </si>
  <si>
    <t>Federal 
(FORTALECE 2016, convenio B)</t>
  </si>
  <si>
    <t>Federal 
(FORTALECE 2016)</t>
  </si>
  <si>
    <t>Federal 
(FORTAFÍN 2016, convenio B)</t>
  </si>
  <si>
    <t>Federal 
(PRODEREG 2016)</t>
  </si>
  <si>
    <t>Federal 
(PRODEREG 2016, convenio B)</t>
  </si>
  <si>
    <t>Federal 
(PRODEREG 2016, convenio D)</t>
  </si>
  <si>
    <t>Estatal 
(92 MDP del Crédito mediante decreto 25528/LX/15 y su convenio modificatorio 25801/LXI/16, 2016 - 2017)</t>
  </si>
  <si>
    <t>Estatal 
(FOCOCI 2016)</t>
  </si>
  <si>
    <t>Municipal 
(Crédito 1,100 MDP)</t>
  </si>
  <si>
    <t>Ramo 33 
(FAIS 2016)</t>
  </si>
  <si>
    <t>Federal 
(Programa de Prevención y Gestión Integral de Residuos)</t>
  </si>
  <si>
    <t>Estatal 
(Consejo de la Zona Metropolitana 2016)</t>
  </si>
  <si>
    <t>Federal 
(Hábitat 2016)</t>
  </si>
  <si>
    <t>Ramo 33 
(FORTAMUN 2017)</t>
  </si>
  <si>
    <t>Federal 
(FORTALECE 2017)</t>
  </si>
  <si>
    <t>Federal 
(FORTALECE 2017, convenio B)</t>
  </si>
  <si>
    <t>Ramo 33 
(FAIS 2017)</t>
  </si>
  <si>
    <t>Ramo 33 
(Remanentes FAIS 2010 - 2015)</t>
  </si>
  <si>
    <t>Federal 
(PRODEREG 2017, convenio B)</t>
  </si>
  <si>
    <t>Estatal 
(FOCOCI 2017)</t>
  </si>
  <si>
    <t>Estatal 
(Consejo de la Zona Metropolitana 2017)</t>
  </si>
  <si>
    <t>Estatal  -  Municipal 
(Convenio Colaboración SCT 2017)</t>
  </si>
  <si>
    <t>Federal 
(FORTAFÍN 2017, convenio D)</t>
  </si>
  <si>
    <t>Municipal 
(CUSMAX 2017)</t>
  </si>
  <si>
    <t>Federal 
(Rescate de Espacios Públicos 2017)</t>
  </si>
  <si>
    <t>Ramo 33 
(FAIS 2018)</t>
  </si>
  <si>
    <t>Federal 
(PRODEREG 2018, convenio C)</t>
  </si>
  <si>
    <t>Federal 
(PRODEREG 2018, convenio D)</t>
  </si>
  <si>
    <t>Federal 
(PRODEREG 2018)</t>
  </si>
  <si>
    <t>Estatal 
(FOCOCI 2018)</t>
  </si>
  <si>
    <t>Municipal 
(CUSMAX 2018)</t>
  </si>
  <si>
    <t>Ramo 33 
(FORTAMUN 2018)</t>
  </si>
  <si>
    <t>Ramo 33 
(FORTAMUN 2019)</t>
  </si>
  <si>
    <t>Estatal 
(Consejo de la Zona Metropolitana 2018)</t>
  </si>
  <si>
    <t>Ramo 33 
(FORTAMUN 2020)</t>
  </si>
  <si>
    <t>Federal 
(FORTAFÍN 2018, convenio C)</t>
  </si>
  <si>
    <t>Federal 
(FORTAFÍN 2018, convenio 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</si>
</sst>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quot;$&quot;#,##0.00"/>
    <numFmt numFmtId="165" formatCode="_-[$€-2]* #,##0.00_-;\-[$€-2]* #,##0.00_-;_-[$€-2]* &quot;-&quot;??_-"/>
    <numFmt numFmtId="166" formatCode="_([$€-2]* #,##0.00_);_([$€-2]* \(#,##0.00\);_([$€-2]* &quot;-&quot;??_)"/>
    <numFmt numFmtId="167" formatCode="[$$-80A]#,##0.00"/>
    <numFmt numFmtId="168" formatCode="dd/mmmm/yyyy"/>
    <numFmt numFmtId="169" formatCode="_-* #,##0.00&quot; €&quot;_-;\-* #,##0.00&quot; €&quot;_-;_-* \-??&quot; €&quot;_-;_-@_-"/>
    <numFmt numFmtId="170" formatCode="[$-F800]dddd\,\ mmmm\ dd\,\ yyyy"/>
    <numFmt numFmtId="171" formatCode="d/mmmm"/>
    <numFmt numFmtId="172" formatCode="[$-80A]d&quot; de &quot;mmmm&quot; de &quot;yyyy;@"/>
    <numFmt numFmtId="173" formatCode="[$-80A]dddd\,\ dd&quot; de &quot;mmmm&quot; de &quot;yyyy"/>
    <numFmt numFmtId="174" formatCode="_(&quot;$&quot;* #,##0.00_);_(&quot;$&quot;* \(#,##0.00\);_(&quot;$&quot;* &quot;-&quot;??_);_(@_)"/>
  </numFmts>
  <fonts count="39">
    <font>
      <sz val="11"/>
      <color theme="1"/>
      <name val="Calibri"/>
      <family val="2"/>
      <scheme val="minor"/>
    </font>
    <font>
      <sz val="9"/>
      <color theme="1"/>
      <name val="Arial"/>
      <family val="2"/>
    </font>
    <font>
      <sz val="8"/>
      <color rgb="FF000000"/>
      <name val="Century Gothic"/>
      <family val="2"/>
    </font>
    <font>
      <sz val="8"/>
      <color theme="1"/>
      <name val="Century Gothic"/>
      <family val="2"/>
    </font>
    <font>
      <sz val="8"/>
      <name val="Century Gothic"/>
      <family val="2"/>
    </font>
    <font>
      <b/>
      <sz val="8"/>
      <color rgb="FF000000"/>
      <name val="Century Gothic"/>
      <family val="2"/>
    </font>
    <font>
      <u/>
      <sz val="11"/>
      <color theme="10"/>
      <name val="Calibri"/>
      <family val="2"/>
      <scheme val="minor"/>
    </font>
    <font>
      <sz val="11"/>
      <color theme="1"/>
      <name val="Calibri"/>
      <family val="2"/>
      <scheme val="minor"/>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color theme="1"/>
      <name val="Arial"/>
      <family val="2"/>
    </font>
    <font>
      <b/>
      <sz val="11"/>
      <color indexed="56"/>
      <name val="Calibri"/>
      <family val="2"/>
    </font>
    <font>
      <sz val="12"/>
      <color indexed="9"/>
      <name val="AvantGarde Bk BT"/>
      <family val="2"/>
    </font>
    <font>
      <sz val="11"/>
      <color indexed="62"/>
      <name val="Calibri"/>
      <family val="2"/>
    </font>
    <font>
      <sz val="10"/>
      <name val="Arial"/>
      <family val="2"/>
    </font>
    <font>
      <u/>
      <sz val="11"/>
      <color theme="10"/>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u/>
      <sz val="8"/>
      <color theme="10"/>
      <name val="Century Gothic"/>
      <family val="2"/>
    </font>
    <font>
      <sz val="12"/>
      <color theme="1"/>
      <name val="Calibri"/>
      <family val="2"/>
      <scheme val="minor"/>
    </font>
    <font>
      <sz val="10"/>
      <color rgb="FF000000"/>
      <name val="Arial"/>
      <family val="2"/>
    </font>
    <font>
      <sz val="11"/>
      <color indexed="8"/>
      <name val="Calibri"/>
      <family val="2"/>
      <scheme val="minor"/>
    </font>
    <font>
      <b/>
      <sz val="14"/>
      <color theme="1"/>
      <name val="Century Gothic"/>
      <family val="2"/>
    </font>
    <font>
      <b/>
      <sz val="9"/>
      <color rgb="FF000000"/>
      <name val="Century Gothic"/>
      <family val="2"/>
    </font>
    <font>
      <sz val="8"/>
      <color rgb="FF222222"/>
      <name val="Century Gothic"/>
      <family val="2"/>
    </font>
    <font>
      <b/>
      <sz val="9"/>
      <color indexed="81"/>
      <name val="Tahoma"/>
      <family val="2"/>
    </font>
    <font>
      <sz val="9"/>
      <color indexed="81"/>
      <name val="Tahoma"/>
      <family val="2"/>
    </font>
    <font>
      <sz val="9"/>
      <color theme="1"/>
      <name val="Century Gothic"/>
      <family val="2"/>
    </font>
  </fonts>
  <fills count="2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4">
    <border>
      <left/>
      <right/>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auto="1"/>
      </right>
      <top style="thin">
        <color auto="1"/>
      </top>
      <bottom style="thin">
        <color auto="1"/>
      </bottom>
      <diagonal/>
    </border>
    <border>
      <left style="thin">
        <color indexed="64"/>
      </left>
      <right style="thin">
        <color indexed="64"/>
      </right>
      <top style="thin">
        <color indexed="64"/>
      </top>
      <bottom style="thin">
        <color rgb="FF000000"/>
      </bottom>
      <diagonal/>
    </border>
  </borders>
  <cellStyleXfs count="1658">
    <xf numFmtId="0" fontId="0" fillId="0" borderId="0"/>
    <xf numFmtId="0" fontId="1" fillId="0" borderId="0"/>
    <xf numFmtId="0" fontId="6" fillId="0" borderId="0" applyNumberFormat="0" applyFill="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10" fillId="6" borderId="0" applyNumberFormat="0" applyBorder="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2" fillId="19" borderId="9" applyNumberFormat="0" applyAlignment="0" applyProtection="0"/>
    <xf numFmtId="0" fontId="13" fillId="0" borderId="10" applyNumberFormat="0" applyFill="0" applyAlignment="0" applyProtection="0"/>
    <xf numFmtId="43" fontId="7" fillId="0" borderId="0" applyFont="0" applyFill="0" applyBorder="0" applyAlignment="0" applyProtection="0"/>
    <xf numFmtId="43" fontId="7" fillId="0" borderId="0" applyFont="0" applyFill="0" applyBorder="0" applyAlignment="0" applyProtection="0"/>
    <xf numFmtId="44" fontId="14" fillId="0" borderId="0" applyFont="0" applyFill="0" applyBorder="0" applyAlignment="0" applyProtection="0"/>
    <xf numFmtId="0" fontId="15" fillId="0" borderId="0" applyNumberFormat="0" applyFill="0" applyBorder="0" applyAlignment="0" applyProtection="0"/>
    <xf numFmtId="0" fontId="16" fillId="20"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3" borderId="0" applyNumberFormat="0" applyBorder="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165"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5"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5" fontId="18" fillId="0" borderId="0" applyFont="0" applyFill="0" applyBorder="0" applyAlignment="0" applyProtection="0"/>
    <xf numFmtId="0" fontId="19" fillId="0" borderId="0" applyNumberFormat="0" applyFill="0" applyBorder="0" applyAlignment="0" applyProtection="0">
      <alignment vertical="top"/>
      <protection locked="0"/>
    </xf>
    <xf numFmtId="0" fontId="6" fillId="0" borderId="0" applyNumberFormat="0" applyFill="0" applyBorder="0" applyAlignment="0" applyProtection="0"/>
    <xf numFmtId="0" fontId="20" fillId="5" borderId="0" applyNumberFormat="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7"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7"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8" fontId="18" fillId="0" borderId="0" applyFont="0" applyFill="0" applyBorder="0" applyAlignment="0" applyProtection="0"/>
    <xf numFmtId="167" fontId="18" fillId="0" borderId="0" applyFont="0" applyFill="0" applyBorder="0" applyAlignment="0" applyProtection="0"/>
    <xf numFmtId="168"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9" fontId="18" fillId="0" borderId="0" applyFill="0" applyBorder="0" applyAlignment="0" applyProtection="0"/>
    <xf numFmtId="44" fontId="18" fillId="0" borderId="0" applyFont="0" applyFill="0" applyBorder="0" applyAlignment="0" applyProtection="0"/>
    <xf numFmtId="170"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0" fontId="18" fillId="0" borderId="0" applyFont="0" applyFill="0" applyBorder="0" applyAlignment="0" applyProtection="0"/>
    <xf numFmtId="44"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3"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7" fontId="18" fillId="0" borderId="0" applyFont="0" applyFill="0" applyBorder="0" applyAlignment="0" applyProtection="0"/>
    <xf numFmtId="0" fontId="21" fillId="24"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 fillId="0" borderId="0"/>
    <xf numFmtId="0" fontId="18" fillId="0" borderId="0"/>
    <xf numFmtId="0" fontId="18" fillId="0" borderId="0"/>
    <xf numFmtId="0" fontId="18" fillId="0" borderId="0"/>
    <xf numFmtId="0" fontId="18" fillId="0" borderId="0"/>
    <xf numFmtId="0" fontId="18" fillId="0" borderId="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8" fillId="0" borderId="0"/>
    <xf numFmtId="0" fontId="18" fillId="0" borderId="0"/>
    <xf numFmtId="0" fontId="18" fillId="0" borderId="0"/>
    <xf numFmtId="0" fontId="18" fillId="0" borderId="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9" fontId="18" fillId="0" borderId="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13" applyNumberFormat="0" applyFill="0" applyAlignment="0" applyProtection="0"/>
    <xf numFmtId="0" fontId="26" fillId="0" borderId="14" applyNumberFormat="0" applyFill="0" applyAlignment="0" applyProtection="0"/>
    <xf numFmtId="0" fontId="15" fillId="0" borderId="15" applyNumberFormat="0" applyFill="0" applyAlignment="0" applyProtection="0"/>
    <xf numFmtId="0" fontId="27" fillId="0" borderId="0" applyNumberFormat="0" applyFill="0" applyBorder="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1" fillId="18"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17" fillId="9" borderId="8" applyNumberFormat="0" applyAlignment="0" applyProtection="0"/>
    <xf numFmtId="0" fontId="6" fillId="0" borderId="0" applyNumberFormat="0" applyFill="0" applyBorder="0" applyAlignment="0" applyProtection="0"/>
    <xf numFmtId="0" fontId="19"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174" fontId="18" fillId="0" borderId="0" applyFont="0" applyFill="0" applyBorder="0" applyAlignment="0" applyProtection="0"/>
    <xf numFmtId="0" fontId="7" fillId="0" borderId="0"/>
    <xf numFmtId="0" fontId="7" fillId="0" borderId="0"/>
    <xf numFmtId="0" fontId="7" fillId="0" borderId="0"/>
    <xf numFmtId="0" fontId="7" fillId="0" borderId="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18" fillId="25" borderId="11" applyNumberFormat="0" applyFon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2" fillId="18" borderId="12" applyNumberFormat="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28" fillId="0" borderId="16" applyNumberFormat="0" applyFill="0" applyAlignment="0" applyProtection="0"/>
    <xf numFmtId="0" fontId="19" fillId="0" borderId="0" applyNumberFormat="0" applyFill="0" applyBorder="0" applyAlignment="0" applyProtection="0">
      <alignment vertical="top"/>
      <protection locked="0"/>
    </xf>
    <xf numFmtId="44" fontId="14" fillId="0" borderId="0" applyFont="0" applyFill="0" applyBorder="0" applyAlignment="0" applyProtection="0"/>
    <xf numFmtId="0" fontId="7" fillId="0" borderId="0"/>
    <xf numFmtId="0" fontId="30" fillId="0" borderId="0"/>
    <xf numFmtId="44" fontId="7" fillId="0" borderId="0" applyFont="0" applyFill="0" applyBorder="0" applyAlignment="0" applyProtection="0"/>
    <xf numFmtId="44" fontId="8" fillId="0" borderId="0" applyFont="0" applyFill="0" applyBorder="0" applyAlignment="0" applyProtection="0"/>
    <xf numFmtId="0" fontId="31" fillId="0" borderId="0" applyNumberFormat="0" applyBorder="0" applyProtection="0"/>
    <xf numFmtId="0" fontId="7" fillId="0" borderId="0"/>
    <xf numFmtId="9" fontId="14" fillId="0" borderId="0" applyFont="0" applyFill="0" applyBorder="0" applyAlignment="0" applyProtection="0"/>
    <xf numFmtId="0" fontId="7" fillId="0" borderId="0"/>
    <xf numFmtId="0" fontId="19" fillId="0" borderId="0" applyNumberFormat="0" applyFill="0" applyBorder="0" applyAlignment="0" applyProtection="0">
      <alignment vertical="top"/>
      <protection locked="0"/>
    </xf>
    <xf numFmtId="0" fontId="6" fillId="0" borderId="0" applyNumberFormat="0" applyFill="0" applyBorder="0" applyAlignment="0" applyProtection="0"/>
    <xf numFmtId="0" fontId="32" fillId="0" borderId="0"/>
    <xf numFmtId="44" fontId="7" fillId="0" borderId="0" applyFont="0" applyFill="0" applyBorder="0" applyAlignment="0" applyProtection="0"/>
  </cellStyleXfs>
  <cellXfs count="55">
    <xf numFmtId="0" fontId="0" fillId="0" borderId="0" xfId="0"/>
    <xf numFmtId="0" fontId="0" fillId="0" borderId="1" xfId="0" applyBorder="1"/>
    <xf numFmtId="0" fontId="0" fillId="0" borderId="0" xfId="0" applyBorder="1"/>
    <xf numFmtId="0" fontId="0" fillId="0" borderId="0" xfId="0" applyFill="1" applyBorder="1"/>
    <xf numFmtId="0" fontId="0" fillId="0" borderId="0" xfId="0" applyAlignment="1">
      <alignment horizontal="center" vertical="center"/>
    </xf>
    <xf numFmtId="0" fontId="34" fillId="3" borderId="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center" vertical="center"/>
    </xf>
    <xf numFmtId="0" fontId="0" fillId="0" borderId="0" xfId="0" applyFill="1"/>
    <xf numFmtId="164" fontId="3" fillId="0" borderId="17" xfId="0" applyNumberFormat="1" applyFont="1" applyFill="1" applyBorder="1" applyAlignment="1">
      <alignment horizontal="center" vertical="center" wrapText="1"/>
    </xf>
    <xf numFmtId="14" fontId="3" fillId="0" borderId="17" xfId="0" applyNumberFormat="1" applyFont="1" applyFill="1" applyBorder="1" applyAlignment="1">
      <alignment horizontal="center" vertical="center"/>
    </xf>
    <xf numFmtId="44" fontId="3" fillId="0" borderId="17" xfId="0" applyNumberFormat="1" applyFont="1" applyFill="1" applyBorder="1" applyAlignment="1">
      <alignment horizontal="center" vertical="center"/>
    </xf>
    <xf numFmtId="3" fontId="3" fillId="0" borderId="17" xfId="0" applyNumberFormat="1" applyFont="1" applyFill="1" applyBorder="1" applyAlignment="1">
      <alignment horizontal="center" vertical="center"/>
    </xf>
    <xf numFmtId="0" fontId="29" fillId="0" borderId="17" xfId="2" applyFont="1" applyFill="1" applyBorder="1" applyAlignment="1">
      <alignment horizontal="center" vertical="center" wrapText="1"/>
    </xf>
    <xf numFmtId="0" fontId="4" fillId="0" borderId="17" xfId="0" applyFont="1" applyFill="1" applyBorder="1" applyAlignment="1">
      <alignment horizontal="center" vertical="center"/>
    </xf>
    <xf numFmtId="44" fontId="4" fillId="0" borderId="17" xfId="0" applyNumberFormat="1" applyFont="1" applyFill="1" applyBorder="1" applyAlignment="1">
      <alignment horizontal="center" vertical="center"/>
    </xf>
    <xf numFmtId="0" fontId="0" fillId="0" borderId="0" xfId="0" applyFill="1" applyAlignment="1">
      <alignment horizontal="center" vertical="center"/>
    </xf>
    <xf numFmtId="0" fontId="2" fillId="0" borderId="17" xfId="0" applyFont="1" applyFill="1" applyBorder="1" applyAlignment="1">
      <alignment horizontal="center" vertical="center" wrapText="1"/>
    </xf>
    <xf numFmtId="4" fontId="3" fillId="0" borderId="17" xfId="0" applyNumberFormat="1" applyFont="1" applyFill="1" applyBorder="1" applyAlignment="1">
      <alignment horizontal="center" vertical="center"/>
    </xf>
    <xf numFmtId="3" fontId="4" fillId="0" borderId="17"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29" fillId="0" borderId="2" xfId="2" applyFont="1" applyFill="1" applyBorder="1" applyAlignment="1">
      <alignment horizontal="center" vertical="center" wrapText="1"/>
    </xf>
    <xf numFmtId="164" fontId="4" fillId="0" borderId="17" xfId="0" applyNumberFormat="1" applyFont="1" applyFill="1" applyBorder="1" applyAlignment="1">
      <alignment horizontal="center" vertical="center"/>
    </xf>
    <xf numFmtId="14" fontId="3" fillId="0" borderId="17" xfId="0" applyNumberFormat="1" applyFont="1" applyFill="1" applyBorder="1" applyAlignment="1">
      <alignment horizontal="center" vertical="center" wrapText="1"/>
    </xf>
    <xf numFmtId="3" fontId="3" fillId="0" borderId="17" xfId="0" applyNumberFormat="1" applyFont="1" applyFill="1" applyBorder="1" applyAlignment="1">
      <alignment horizontal="center" vertical="center" wrapText="1"/>
    </xf>
    <xf numFmtId="44" fontId="3" fillId="0" borderId="17" xfId="0" applyNumberFormat="1" applyFont="1" applyFill="1" applyBorder="1" applyAlignment="1">
      <alignment horizontal="center" vertical="center" wrapText="1"/>
    </xf>
    <xf numFmtId="0" fontId="3" fillId="0" borderId="17" xfId="0" applyFont="1" applyFill="1" applyBorder="1"/>
    <xf numFmtId="44" fontId="3" fillId="0" borderId="17" xfId="1657" applyNumberFormat="1" applyFont="1" applyFill="1" applyBorder="1" applyAlignment="1">
      <alignment horizontal="center" vertical="center" wrapText="1"/>
    </xf>
    <xf numFmtId="0" fontId="3" fillId="0" borderId="2" xfId="0" applyFont="1" applyFill="1" applyBorder="1"/>
    <xf numFmtId="0" fontId="3" fillId="0" borderId="18" xfId="0" applyFont="1" applyFill="1" applyBorder="1" applyAlignment="1">
      <alignment horizontal="center" vertical="center"/>
    </xf>
    <xf numFmtId="0" fontId="35" fillId="0" borderId="0" xfId="0" applyFont="1" applyFill="1" applyAlignment="1">
      <alignment horizontal="center" vertical="center" wrapText="1"/>
    </xf>
    <xf numFmtId="0" fontId="35" fillId="0" borderId="2" xfId="0" applyFont="1" applyFill="1" applyBorder="1" applyAlignment="1">
      <alignment horizontal="center" vertical="center" wrapText="1"/>
    </xf>
    <xf numFmtId="0" fontId="3" fillId="0" borderId="17" xfId="0" applyFont="1" applyFill="1" applyBorder="1" applyAlignment="1">
      <alignment horizontal="center" vertical="top" wrapText="1"/>
    </xf>
    <xf numFmtId="0" fontId="34" fillId="3" borderId="2"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xf numFmtId="44" fontId="3" fillId="0" borderId="2" xfId="0" applyNumberFormat="1" applyFont="1" applyFill="1" applyBorder="1" applyAlignment="1">
      <alignment horizontal="center" vertical="center"/>
    </xf>
    <xf numFmtId="0" fontId="3" fillId="0" borderId="23" xfId="0" applyFont="1" applyFill="1" applyBorder="1" applyAlignment="1">
      <alignment horizontal="center" vertical="center" wrapText="1"/>
    </xf>
    <xf numFmtId="44" fontId="3" fillId="0" borderId="17" xfId="1657" applyFont="1" applyFill="1" applyBorder="1" applyAlignment="1">
      <alignment horizontal="right" vertical="center"/>
    </xf>
    <xf numFmtId="44" fontId="3" fillId="0" borderId="17" xfId="1657" applyFont="1" applyFill="1" applyBorder="1" applyAlignment="1">
      <alignment horizontal="center" vertical="center" wrapText="1"/>
    </xf>
    <xf numFmtId="0" fontId="3" fillId="0" borderId="22" xfId="0" applyFont="1" applyFill="1" applyBorder="1" applyAlignment="1">
      <alignment horizontal="center" vertical="center" wrapText="1"/>
    </xf>
    <xf numFmtId="44" fontId="3" fillId="0" borderId="23" xfId="0" applyNumberFormat="1" applyFont="1" applyFill="1" applyBorder="1" applyAlignment="1">
      <alignment horizontal="center" vertical="center" wrapText="1"/>
    </xf>
    <xf numFmtId="0" fontId="29" fillId="0" borderId="0" xfId="2" applyFont="1" applyFill="1" applyAlignment="1">
      <alignment horizontal="center" vertical="center" wrapText="1"/>
    </xf>
    <xf numFmtId="0" fontId="38" fillId="0" borderId="17" xfId="0" applyFont="1" applyBorder="1" applyAlignment="1">
      <alignment horizontal="center" vertical="center" wrapText="1"/>
    </xf>
    <xf numFmtId="0" fontId="33" fillId="2" borderId="20" xfId="1" applyFont="1" applyFill="1" applyBorder="1" applyAlignment="1">
      <alignment horizontal="center" vertical="center"/>
    </xf>
    <xf numFmtId="0" fontId="33" fillId="2" borderId="19" xfId="1" applyFont="1" applyFill="1" applyBorder="1" applyAlignment="1">
      <alignment horizontal="center" vertical="center"/>
    </xf>
    <xf numFmtId="0" fontId="33" fillId="2" borderId="21" xfId="1" applyFont="1" applyFill="1" applyBorder="1" applyAlignment="1">
      <alignment horizontal="center" vertical="center"/>
    </xf>
    <xf numFmtId="0" fontId="33" fillId="2" borderId="3" xfId="1" applyFont="1" applyFill="1" applyBorder="1" applyAlignment="1">
      <alignment horizontal="center" vertical="center" wrapText="1"/>
    </xf>
    <xf numFmtId="0" fontId="33" fillId="2" borderId="0" xfId="1" applyFont="1" applyFill="1" applyBorder="1" applyAlignment="1">
      <alignment horizontal="center" vertical="center" wrapText="1"/>
    </xf>
    <xf numFmtId="0" fontId="33" fillId="2" borderId="4" xfId="1" applyFont="1" applyFill="1" applyBorder="1" applyAlignment="1">
      <alignment horizontal="center" vertical="center" wrapText="1"/>
    </xf>
    <xf numFmtId="0" fontId="33" fillId="2" borderId="5" xfId="1" applyFont="1" applyFill="1" applyBorder="1" applyAlignment="1">
      <alignment horizontal="center" vertical="center"/>
    </xf>
    <xf numFmtId="0" fontId="33" fillId="2" borderId="6" xfId="1" applyFont="1" applyFill="1" applyBorder="1" applyAlignment="1">
      <alignment horizontal="center" vertical="center"/>
    </xf>
    <xf numFmtId="0" fontId="33" fillId="2" borderId="7" xfId="1" applyFont="1" applyFill="1" applyBorder="1" applyAlignment="1">
      <alignment horizontal="center" vertical="center"/>
    </xf>
    <xf numFmtId="0" fontId="3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658">
    <cellStyle name="20% - Énfasis1 2" xfId="3" xr:uid="{00000000-0005-0000-0000-000000000000}"/>
    <cellStyle name="20% - Énfasis2 2" xfId="4" xr:uid="{00000000-0005-0000-0000-000001000000}"/>
    <cellStyle name="20% - Énfasis3 2" xfId="5" xr:uid="{00000000-0005-0000-0000-000002000000}"/>
    <cellStyle name="20% - Énfasis4 2" xfId="6" xr:uid="{00000000-0005-0000-0000-000003000000}"/>
    <cellStyle name="20% - Énfasis5 2" xfId="7" xr:uid="{00000000-0005-0000-0000-000004000000}"/>
    <cellStyle name="20% - Énfasis6 2" xfId="8" xr:uid="{00000000-0005-0000-0000-000005000000}"/>
    <cellStyle name="40% - Énfasis1 2" xfId="9" xr:uid="{00000000-0005-0000-0000-000006000000}"/>
    <cellStyle name="40% - Énfasis2 2" xfId="10" xr:uid="{00000000-0005-0000-0000-000007000000}"/>
    <cellStyle name="40% - Énfasis3 2" xfId="11" xr:uid="{00000000-0005-0000-0000-000008000000}"/>
    <cellStyle name="40% - Énfasis4 2" xfId="12" xr:uid="{00000000-0005-0000-0000-000009000000}"/>
    <cellStyle name="40% - Énfasis5 2" xfId="13" xr:uid="{00000000-0005-0000-0000-00000A000000}"/>
    <cellStyle name="40% - Énfasis6 2" xfId="14" xr:uid="{00000000-0005-0000-0000-00000B000000}"/>
    <cellStyle name="60% - Énfasis1 2" xfId="15" xr:uid="{00000000-0005-0000-0000-00000C000000}"/>
    <cellStyle name="60% - Énfasis2 2" xfId="16" xr:uid="{00000000-0005-0000-0000-00000D000000}"/>
    <cellStyle name="60% - Énfasis3 2" xfId="17" xr:uid="{00000000-0005-0000-0000-00000E000000}"/>
    <cellStyle name="60% - Énfasis4 2" xfId="18" xr:uid="{00000000-0005-0000-0000-00000F000000}"/>
    <cellStyle name="60% - Énfasis5 2" xfId="19" xr:uid="{00000000-0005-0000-0000-000010000000}"/>
    <cellStyle name="60% - Énfasis6 2" xfId="20" xr:uid="{00000000-0005-0000-0000-000011000000}"/>
    <cellStyle name="Buena 2" xfId="21" xr:uid="{00000000-0005-0000-0000-000012000000}"/>
    <cellStyle name="Cálculo 2" xfId="22" xr:uid="{00000000-0005-0000-0000-000013000000}"/>
    <cellStyle name="Cálculo 2 10" xfId="23" xr:uid="{00000000-0005-0000-0000-000014000000}"/>
    <cellStyle name="Cálculo 2 10 2" xfId="24" xr:uid="{00000000-0005-0000-0000-000015000000}"/>
    <cellStyle name="Cálculo 2 10 2 2" xfId="1366" xr:uid="{00000000-0005-0000-0000-000016000000}"/>
    <cellStyle name="Cálculo 2 10 2 3" xfId="1367" xr:uid="{00000000-0005-0000-0000-000017000000}"/>
    <cellStyle name="Cálculo 2 10 2 4" xfId="1368" xr:uid="{00000000-0005-0000-0000-000018000000}"/>
    <cellStyle name="Cálculo 2 10 3" xfId="25" xr:uid="{00000000-0005-0000-0000-000019000000}"/>
    <cellStyle name="Cálculo 2 11" xfId="26" xr:uid="{00000000-0005-0000-0000-00001A000000}"/>
    <cellStyle name="Cálculo 2 11 2" xfId="27" xr:uid="{00000000-0005-0000-0000-00001B000000}"/>
    <cellStyle name="Cálculo 2 11 2 2" xfId="1369" xr:uid="{00000000-0005-0000-0000-00001C000000}"/>
    <cellStyle name="Cálculo 2 11 2 3" xfId="1370" xr:uid="{00000000-0005-0000-0000-00001D000000}"/>
    <cellStyle name="Cálculo 2 11 2 4" xfId="1371" xr:uid="{00000000-0005-0000-0000-00001E000000}"/>
    <cellStyle name="Cálculo 2 11 3" xfId="28" xr:uid="{00000000-0005-0000-0000-00001F000000}"/>
    <cellStyle name="Cálculo 2 12" xfId="29" xr:uid="{00000000-0005-0000-0000-000020000000}"/>
    <cellStyle name="Cálculo 2 12 2" xfId="30" xr:uid="{00000000-0005-0000-0000-000021000000}"/>
    <cellStyle name="Cálculo 2 12 2 2" xfId="1372" xr:uid="{00000000-0005-0000-0000-000022000000}"/>
    <cellStyle name="Cálculo 2 12 2 3" xfId="1373" xr:uid="{00000000-0005-0000-0000-000023000000}"/>
    <cellStyle name="Cálculo 2 12 2 4" xfId="1374" xr:uid="{00000000-0005-0000-0000-000024000000}"/>
    <cellStyle name="Cálculo 2 12 3" xfId="31" xr:uid="{00000000-0005-0000-0000-000025000000}"/>
    <cellStyle name="Cálculo 2 13" xfId="32" xr:uid="{00000000-0005-0000-0000-000026000000}"/>
    <cellStyle name="Cálculo 2 13 2" xfId="33" xr:uid="{00000000-0005-0000-0000-000027000000}"/>
    <cellStyle name="Cálculo 2 13 2 2" xfId="1375" xr:uid="{00000000-0005-0000-0000-000028000000}"/>
    <cellStyle name="Cálculo 2 13 2 3" xfId="1376" xr:uid="{00000000-0005-0000-0000-000029000000}"/>
    <cellStyle name="Cálculo 2 13 2 4" xfId="1377" xr:uid="{00000000-0005-0000-0000-00002A000000}"/>
    <cellStyle name="Cálculo 2 13 3" xfId="34" xr:uid="{00000000-0005-0000-0000-00002B000000}"/>
    <cellStyle name="Cálculo 2 14" xfId="35" xr:uid="{00000000-0005-0000-0000-00002C000000}"/>
    <cellStyle name="Cálculo 2 14 2" xfId="36" xr:uid="{00000000-0005-0000-0000-00002D000000}"/>
    <cellStyle name="Cálculo 2 14 2 2" xfId="1378" xr:uid="{00000000-0005-0000-0000-00002E000000}"/>
    <cellStyle name="Cálculo 2 14 2 3" xfId="1379" xr:uid="{00000000-0005-0000-0000-00002F000000}"/>
    <cellStyle name="Cálculo 2 14 2 4" xfId="1380" xr:uid="{00000000-0005-0000-0000-000030000000}"/>
    <cellStyle name="Cálculo 2 14 3" xfId="37" xr:uid="{00000000-0005-0000-0000-000031000000}"/>
    <cellStyle name="Cálculo 2 15" xfId="38" xr:uid="{00000000-0005-0000-0000-000032000000}"/>
    <cellStyle name="Cálculo 2 15 2" xfId="39" xr:uid="{00000000-0005-0000-0000-000033000000}"/>
    <cellStyle name="Cálculo 2 15 2 2" xfId="1381" xr:uid="{00000000-0005-0000-0000-000034000000}"/>
    <cellStyle name="Cálculo 2 15 2 3" xfId="1382" xr:uid="{00000000-0005-0000-0000-000035000000}"/>
    <cellStyle name="Cálculo 2 15 2 4" xfId="1383" xr:uid="{00000000-0005-0000-0000-000036000000}"/>
    <cellStyle name="Cálculo 2 15 3" xfId="40" xr:uid="{00000000-0005-0000-0000-000037000000}"/>
    <cellStyle name="Cálculo 2 16" xfId="41" xr:uid="{00000000-0005-0000-0000-000038000000}"/>
    <cellStyle name="Cálculo 2 16 2" xfId="42" xr:uid="{00000000-0005-0000-0000-000039000000}"/>
    <cellStyle name="Cálculo 2 16 2 2" xfId="1384" xr:uid="{00000000-0005-0000-0000-00003A000000}"/>
    <cellStyle name="Cálculo 2 16 2 3" xfId="1385" xr:uid="{00000000-0005-0000-0000-00003B000000}"/>
    <cellStyle name="Cálculo 2 16 2 4" xfId="1386" xr:uid="{00000000-0005-0000-0000-00003C000000}"/>
    <cellStyle name="Cálculo 2 16 3" xfId="43" xr:uid="{00000000-0005-0000-0000-00003D000000}"/>
    <cellStyle name="Cálculo 2 17" xfId="44" xr:uid="{00000000-0005-0000-0000-00003E000000}"/>
    <cellStyle name="Cálculo 2 17 2" xfId="45" xr:uid="{00000000-0005-0000-0000-00003F000000}"/>
    <cellStyle name="Cálculo 2 17 2 2" xfId="1387" xr:uid="{00000000-0005-0000-0000-000040000000}"/>
    <cellStyle name="Cálculo 2 17 2 3" xfId="1388" xr:uid="{00000000-0005-0000-0000-000041000000}"/>
    <cellStyle name="Cálculo 2 17 2 4" xfId="1389" xr:uid="{00000000-0005-0000-0000-000042000000}"/>
    <cellStyle name="Cálculo 2 17 3" xfId="46" xr:uid="{00000000-0005-0000-0000-000043000000}"/>
    <cellStyle name="Cálculo 2 18" xfId="47" xr:uid="{00000000-0005-0000-0000-000044000000}"/>
    <cellStyle name="Cálculo 2 18 2" xfId="48" xr:uid="{00000000-0005-0000-0000-000045000000}"/>
    <cellStyle name="Cálculo 2 18 2 2" xfId="1390" xr:uid="{00000000-0005-0000-0000-000046000000}"/>
    <cellStyle name="Cálculo 2 18 2 3" xfId="1391" xr:uid="{00000000-0005-0000-0000-000047000000}"/>
    <cellStyle name="Cálculo 2 18 2 4" xfId="1392" xr:uid="{00000000-0005-0000-0000-000048000000}"/>
    <cellStyle name="Cálculo 2 18 3" xfId="49" xr:uid="{00000000-0005-0000-0000-000049000000}"/>
    <cellStyle name="Cálculo 2 19" xfId="50" xr:uid="{00000000-0005-0000-0000-00004A000000}"/>
    <cellStyle name="Cálculo 2 19 2" xfId="1393" xr:uid="{00000000-0005-0000-0000-00004B000000}"/>
    <cellStyle name="Cálculo 2 19 3" xfId="1394" xr:uid="{00000000-0005-0000-0000-00004C000000}"/>
    <cellStyle name="Cálculo 2 19 4" xfId="1395" xr:uid="{00000000-0005-0000-0000-00004D000000}"/>
    <cellStyle name="Cálculo 2 2" xfId="51" xr:uid="{00000000-0005-0000-0000-00004E000000}"/>
    <cellStyle name="Cálculo 2 2 2" xfId="52" xr:uid="{00000000-0005-0000-0000-00004F000000}"/>
    <cellStyle name="Cálculo 2 2 2 2" xfId="1396" xr:uid="{00000000-0005-0000-0000-000050000000}"/>
    <cellStyle name="Cálculo 2 2 2 3" xfId="1397" xr:uid="{00000000-0005-0000-0000-000051000000}"/>
    <cellStyle name="Cálculo 2 2 2 4" xfId="1398" xr:uid="{00000000-0005-0000-0000-000052000000}"/>
    <cellStyle name="Cálculo 2 2 3" xfId="53" xr:uid="{00000000-0005-0000-0000-000053000000}"/>
    <cellStyle name="Cálculo 2 20" xfId="54" xr:uid="{00000000-0005-0000-0000-000054000000}"/>
    <cellStyle name="Cálculo 2 3" xfId="55" xr:uid="{00000000-0005-0000-0000-000055000000}"/>
    <cellStyle name="Cálculo 2 3 2" xfId="56" xr:uid="{00000000-0005-0000-0000-000056000000}"/>
    <cellStyle name="Cálculo 2 3 2 2" xfId="1399" xr:uid="{00000000-0005-0000-0000-000057000000}"/>
    <cellStyle name="Cálculo 2 3 2 3" xfId="1400" xr:uid="{00000000-0005-0000-0000-000058000000}"/>
    <cellStyle name="Cálculo 2 3 2 4" xfId="1401" xr:uid="{00000000-0005-0000-0000-000059000000}"/>
    <cellStyle name="Cálculo 2 3 3" xfId="57" xr:uid="{00000000-0005-0000-0000-00005A000000}"/>
    <cellStyle name="Cálculo 2 4" xfId="58" xr:uid="{00000000-0005-0000-0000-00005B000000}"/>
    <cellStyle name="Cálculo 2 4 2" xfId="59" xr:uid="{00000000-0005-0000-0000-00005C000000}"/>
    <cellStyle name="Cálculo 2 4 2 2" xfId="1402" xr:uid="{00000000-0005-0000-0000-00005D000000}"/>
    <cellStyle name="Cálculo 2 4 2 3" xfId="1403" xr:uid="{00000000-0005-0000-0000-00005E000000}"/>
    <cellStyle name="Cálculo 2 4 2 4" xfId="1404" xr:uid="{00000000-0005-0000-0000-00005F000000}"/>
    <cellStyle name="Cálculo 2 4 3" xfId="60" xr:uid="{00000000-0005-0000-0000-000060000000}"/>
    <cellStyle name="Cálculo 2 5" xfId="61" xr:uid="{00000000-0005-0000-0000-000061000000}"/>
    <cellStyle name="Cálculo 2 5 2" xfId="62" xr:uid="{00000000-0005-0000-0000-000062000000}"/>
    <cellStyle name="Cálculo 2 5 2 2" xfId="1405" xr:uid="{00000000-0005-0000-0000-000063000000}"/>
    <cellStyle name="Cálculo 2 5 2 3" xfId="1406" xr:uid="{00000000-0005-0000-0000-000064000000}"/>
    <cellStyle name="Cálculo 2 5 2 4" xfId="1407" xr:uid="{00000000-0005-0000-0000-000065000000}"/>
    <cellStyle name="Cálculo 2 5 3" xfId="63" xr:uid="{00000000-0005-0000-0000-000066000000}"/>
    <cellStyle name="Cálculo 2 6" xfId="64" xr:uid="{00000000-0005-0000-0000-000067000000}"/>
    <cellStyle name="Cálculo 2 6 2" xfId="65" xr:uid="{00000000-0005-0000-0000-000068000000}"/>
    <cellStyle name="Cálculo 2 6 2 2" xfId="1408" xr:uid="{00000000-0005-0000-0000-000069000000}"/>
    <cellStyle name="Cálculo 2 6 2 3" xfId="1409" xr:uid="{00000000-0005-0000-0000-00006A000000}"/>
    <cellStyle name="Cálculo 2 6 2 4" xfId="1410" xr:uid="{00000000-0005-0000-0000-00006B000000}"/>
    <cellStyle name="Cálculo 2 6 3" xfId="66" xr:uid="{00000000-0005-0000-0000-00006C000000}"/>
    <cellStyle name="Cálculo 2 7" xfId="67" xr:uid="{00000000-0005-0000-0000-00006D000000}"/>
    <cellStyle name="Cálculo 2 7 2" xfId="68" xr:uid="{00000000-0005-0000-0000-00006E000000}"/>
    <cellStyle name="Cálculo 2 7 2 2" xfId="1411" xr:uid="{00000000-0005-0000-0000-00006F000000}"/>
    <cellStyle name="Cálculo 2 7 2 3" xfId="1412" xr:uid="{00000000-0005-0000-0000-000070000000}"/>
    <cellStyle name="Cálculo 2 7 2 4" xfId="1413" xr:uid="{00000000-0005-0000-0000-000071000000}"/>
    <cellStyle name="Cálculo 2 7 3" xfId="69" xr:uid="{00000000-0005-0000-0000-000072000000}"/>
    <cellStyle name="Cálculo 2 8" xfId="70" xr:uid="{00000000-0005-0000-0000-000073000000}"/>
    <cellStyle name="Cálculo 2 8 2" xfId="71" xr:uid="{00000000-0005-0000-0000-000074000000}"/>
    <cellStyle name="Cálculo 2 8 2 2" xfId="1414" xr:uid="{00000000-0005-0000-0000-000075000000}"/>
    <cellStyle name="Cálculo 2 8 2 3" xfId="1415" xr:uid="{00000000-0005-0000-0000-000076000000}"/>
    <cellStyle name="Cálculo 2 8 2 4" xfId="1416" xr:uid="{00000000-0005-0000-0000-000077000000}"/>
    <cellStyle name="Cálculo 2 8 3" xfId="72" xr:uid="{00000000-0005-0000-0000-000078000000}"/>
    <cellStyle name="Cálculo 2 9" xfId="73" xr:uid="{00000000-0005-0000-0000-000079000000}"/>
    <cellStyle name="Cálculo 2 9 2" xfId="74" xr:uid="{00000000-0005-0000-0000-00007A000000}"/>
    <cellStyle name="Cálculo 2 9 2 2" xfId="1417" xr:uid="{00000000-0005-0000-0000-00007B000000}"/>
    <cellStyle name="Cálculo 2 9 2 3" xfId="1418" xr:uid="{00000000-0005-0000-0000-00007C000000}"/>
    <cellStyle name="Cálculo 2 9 2 4" xfId="1419" xr:uid="{00000000-0005-0000-0000-00007D000000}"/>
    <cellStyle name="Cálculo 2 9 3" xfId="75" xr:uid="{00000000-0005-0000-0000-00007E000000}"/>
    <cellStyle name="Celda de comprobación 2" xfId="76" xr:uid="{00000000-0005-0000-0000-00007F000000}"/>
    <cellStyle name="Celda vinculada 2" xfId="77" xr:uid="{00000000-0005-0000-0000-000080000000}"/>
    <cellStyle name="Comma 2" xfId="78" xr:uid="{00000000-0005-0000-0000-000081000000}"/>
    <cellStyle name="Comma 3" xfId="79" xr:uid="{00000000-0005-0000-0000-000082000000}"/>
    <cellStyle name="Currency 2" xfId="80" xr:uid="{00000000-0005-0000-0000-000083000000}"/>
    <cellStyle name="Encabezado 4 2" xfId="81" xr:uid="{00000000-0005-0000-0000-000084000000}"/>
    <cellStyle name="Énfasis1 2" xfId="82" xr:uid="{00000000-0005-0000-0000-000085000000}"/>
    <cellStyle name="Énfasis1 3" xfId="83" xr:uid="{00000000-0005-0000-0000-000086000000}"/>
    <cellStyle name="Énfasis2 2" xfId="84" xr:uid="{00000000-0005-0000-0000-000087000000}"/>
    <cellStyle name="Énfasis3 2" xfId="85" xr:uid="{00000000-0005-0000-0000-000088000000}"/>
    <cellStyle name="Énfasis4 2" xfId="86" xr:uid="{00000000-0005-0000-0000-000089000000}"/>
    <cellStyle name="Énfasis5 2" xfId="87" xr:uid="{00000000-0005-0000-0000-00008A000000}"/>
    <cellStyle name="Énfasis6 2" xfId="88" xr:uid="{00000000-0005-0000-0000-00008B000000}"/>
    <cellStyle name="Entrada 2" xfId="89" xr:uid="{00000000-0005-0000-0000-00008C000000}"/>
    <cellStyle name="Entrada 2 10" xfId="90" xr:uid="{00000000-0005-0000-0000-00008D000000}"/>
    <cellStyle name="Entrada 2 10 2" xfId="91" xr:uid="{00000000-0005-0000-0000-00008E000000}"/>
    <cellStyle name="Entrada 2 10 2 2" xfId="1420" xr:uid="{00000000-0005-0000-0000-00008F000000}"/>
    <cellStyle name="Entrada 2 10 2 3" xfId="1421" xr:uid="{00000000-0005-0000-0000-000090000000}"/>
    <cellStyle name="Entrada 2 10 2 4" xfId="1422" xr:uid="{00000000-0005-0000-0000-000091000000}"/>
    <cellStyle name="Entrada 2 10 3" xfId="92" xr:uid="{00000000-0005-0000-0000-000092000000}"/>
    <cellStyle name="Entrada 2 11" xfId="93" xr:uid="{00000000-0005-0000-0000-000093000000}"/>
    <cellStyle name="Entrada 2 11 2" xfId="94" xr:uid="{00000000-0005-0000-0000-000094000000}"/>
    <cellStyle name="Entrada 2 11 2 2" xfId="1423" xr:uid="{00000000-0005-0000-0000-000095000000}"/>
    <cellStyle name="Entrada 2 11 2 3" xfId="1424" xr:uid="{00000000-0005-0000-0000-000096000000}"/>
    <cellStyle name="Entrada 2 11 2 4" xfId="1425" xr:uid="{00000000-0005-0000-0000-000097000000}"/>
    <cellStyle name="Entrada 2 11 3" xfId="95" xr:uid="{00000000-0005-0000-0000-000098000000}"/>
    <cellStyle name="Entrada 2 12" xfId="96" xr:uid="{00000000-0005-0000-0000-000099000000}"/>
    <cellStyle name="Entrada 2 12 2" xfId="97" xr:uid="{00000000-0005-0000-0000-00009A000000}"/>
    <cellStyle name="Entrada 2 12 2 2" xfId="1426" xr:uid="{00000000-0005-0000-0000-00009B000000}"/>
    <cellStyle name="Entrada 2 12 2 3" xfId="1427" xr:uid="{00000000-0005-0000-0000-00009C000000}"/>
    <cellStyle name="Entrada 2 12 2 4" xfId="1428" xr:uid="{00000000-0005-0000-0000-00009D000000}"/>
    <cellStyle name="Entrada 2 12 3" xfId="98" xr:uid="{00000000-0005-0000-0000-00009E000000}"/>
    <cellStyle name="Entrada 2 13" xfId="99" xr:uid="{00000000-0005-0000-0000-00009F000000}"/>
    <cellStyle name="Entrada 2 13 2" xfId="100" xr:uid="{00000000-0005-0000-0000-0000A0000000}"/>
    <cellStyle name="Entrada 2 13 2 2" xfId="1429" xr:uid="{00000000-0005-0000-0000-0000A1000000}"/>
    <cellStyle name="Entrada 2 13 2 3" xfId="1430" xr:uid="{00000000-0005-0000-0000-0000A2000000}"/>
    <cellStyle name="Entrada 2 13 2 4" xfId="1431" xr:uid="{00000000-0005-0000-0000-0000A3000000}"/>
    <cellStyle name="Entrada 2 13 3" xfId="101" xr:uid="{00000000-0005-0000-0000-0000A4000000}"/>
    <cellStyle name="Entrada 2 14" xfId="102" xr:uid="{00000000-0005-0000-0000-0000A5000000}"/>
    <cellStyle name="Entrada 2 14 2" xfId="103" xr:uid="{00000000-0005-0000-0000-0000A6000000}"/>
    <cellStyle name="Entrada 2 14 2 2" xfId="1432" xr:uid="{00000000-0005-0000-0000-0000A7000000}"/>
    <cellStyle name="Entrada 2 14 2 3" xfId="1433" xr:uid="{00000000-0005-0000-0000-0000A8000000}"/>
    <cellStyle name="Entrada 2 14 2 4" xfId="1434" xr:uid="{00000000-0005-0000-0000-0000A9000000}"/>
    <cellStyle name="Entrada 2 14 3" xfId="104" xr:uid="{00000000-0005-0000-0000-0000AA000000}"/>
    <cellStyle name="Entrada 2 15" xfId="105" xr:uid="{00000000-0005-0000-0000-0000AB000000}"/>
    <cellStyle name="Entrada 2 15 2" xfId="106" xr:uid="{00000000-0005-0000-0000-0000AC000000}"/>
    <cellStyle name="Entrada 2 15 2 2" xfId="1435" xr:uid="{00000000-0005-0000-0000-0000AD000000}"/>
    <cellStyle name="Entrada 2 15 2 3" xfId="1436" xr:uid="{00000000-0005-0000-0000-0000AE000000}"/>
    <cellStyle name="Entrada 2 15 2 4" xfId="1437" xr:uid="{00000000-0005-0000-0000-0000AF000000}"/>
    <cellStyle name="Entrada 2 15 3" xfId="107" xr:uid="{00000000-0005-0000-0000-0000B0000000}"/>
    <cellStyle name="Entrada 2 16" xfId="108" xr:uid="{00000000-0005-0000-0000-0000B1000000}"/>
    <cellStyle name="Entrada 2 16 2" xfId="109" xr:uid="{00000000-0005-0000-0000-0000B2000000}"/>
    <cellStyle name="Entrada 2 16 2 2" xfId="1438" xr:uid="{00000000-0005-0000-0000-0000B3000000}"/>
    <cellStyle name="Entrada 2 16 2 3" xfId="1439" xr:uid="{00000000-0005-0000-0000-0000B4000000}"/>
    <cellStyle name="Entrada 2 16 2 4" xfId="1440" xr:uid="{00000000-0005-0000-0000-0000B5000000}"/>
    <cellStyle name="Entrada 2 16 3" xfId="110" xr:uid="{00000000-0005-0000-0000-0000B6000000}"/>
    <cellStyle name="Entrada 2 17" xfId="111" xr:uid="{00000000-0005-0000-0000-0000B7000000}"/>
    <cellStyle name="Entrada 2 17 2" xfId="112" xr:uid="{00000000-0005-0000-0000-0000B8000000}"/>
    <cellStyle name="Entrada 2 17 2 2" xfId="1441" xr:uid="{00000000-0005-0000-0000-0000B9000000}"/>
    <cellStyle name="Entrada 2 17 2 3" xfId="1442" xr:uid="{00000000-0005-0000-0000-0000BA000000}"/>
    <cellStyle name="Entrada 2 17 2 4" xfId="1443" xr:uid="{00000000-0005-0000-0000-0000BB000000}"/>
    <cellStyle name="Entrada 2 17 3" xfId="113" xr:uid="{00000000-0005-0000-0000-0000BC000000}"/>
    <cellStyle name="Entrada 2 18" xfId="114" xr:uid="{00000000-0005-0000-0000-0000BD000000}"/>
    <cellStyle name="Entrada 2 18 2" xfId="115" xr:uid="{00000000-0005-0000-0000-0000BE000000}"/>
    <cellStyle name="Entrada 2 18 2 2" xfId="1444" xr:uid="{00000000-0005-0000-0000-0000BF000000}"/>
    <cellStyle name="Entrada 2 18 2 3" xfId="1445" xr:uid="{00000000-0005-0000-0000-0000C0000000}"/>
    <cellStyle name="Entrada 2 18 2 4" xfId="1446" xr:uid="{00000000-0005-0000-0000-0000C1000000}"/>
    <cellStyle name="Entrada 2 18 3" xfId="116" xr:uid="{00000000-0005-0000-0000-0000C2000000}"/>
    <cellStyle name="Entrada 2 19" xfId="117" xr:uid="{00000000-0005-0000-0000-0000C3000000}"/>
    <cellStyle name="Entrada 2 19 2" xfId="1447" xr:uid="{00000000-0005-0000-0000-0000C4000000}"/>
    <cellStyle name="Entrada 2 19 3" xfId="1448" xr:uid="{00000000-0005-0000-0000-0000C5000000}"/>
    <cellStyle name="Entrada 2 19 4" xfId="1449" xr:uid="{00000000-0005-0000-0000-0000C6000000}"/>
    <cellStyle name="Entrada 2 2" xfId="118" xr:uid="{00000000-0005-0000-0000-0000C7000000}"/>
    <cellStyle name="Entrada 2 2 2" xfId="119" xr:uid="{00000000-0005-0000-0000-0000C8000000}"/>
    <cellStyle name="Entrada 2 2 2 2" xfId="1450" xr:uid="{00000000-0005-0000-0000-0000C9000000}"/>
    <cellStyle name="Entrada 2 2 2 3" xfId="1451" xr:uid="{00000000-0005-0000-0000-0000CA000000}"/>
    <cellStyle name="Entrada 2 2 2 4" xfId="1452" xr:uid="{00000000-0005-0000-0000-0000CB000000}"/>
    <cellStyle name="Entrada 2 2 3" xfId="120" xr:uid="{00000000-0005-0000-0000-0000CC000000}"/>
    <cellStyle name="Entrada 2 20" xfId="121" xr:uid="{00000000-0005-0000-0000-0000CD000000}"/>
    <cellStyle name="Entrada 2 3" xfId="122" xr:uid="{00000000-0005-0000-0000-0000CE000000}"/>
    <cellStyle name="Entrada 2 3 2" xfId="123" xr:uid="{00000000-0005-0000-0000-0000CF000000}"/>
    <cellStyle name="Entrada 2 3 2 2" xfId="1453" xr:uid="{00000000-0005-0000-0000-0000D0000000}"/>
    <cellStyle name="Entrada 2 3 2 3" xfId="1454" xr:uid="{00000000-0005-0000-0000-0000D1000000}"/>
    <cellStyle name="Entrada 2 3 2 4" xfId="1455" xr:uid="{00000000-0005-0000-0000-0000D2000000}"/>
    <cellStyle name="Entrada 2 3 3" xfId="124" xr:uid="{00000000-0005-0000-0000-0000D3000000}"/>
    <cellStyle name="Entrada 2 4" xfId="125" xr:uid="{00000000-0005-0000-0000-0000D4000000}"/>
    <cellStyle name="Entrada 2 4 2" xfId="126" xr:uid="{00000000-0005-0000-0000-0000D5000000}"/>
    <cellStyle name="Entrada 2 4 2 2" xfId="1456" xr:uid="{00000000-0005-0000-0000-0000D6000000}"/>
    <cellStyle name="Entrada 2 4 2 3" xfId="1457" xr:uid="{00000000-0005-0000-0000-0000D7000000}"/>
    <cellStyle name="Entrada 2 4 2 4" xfId="1458" xr:uid="{00000000-0005-0000-0000-0000D8000000}"/>
    <cellStyle name="Entrada 2 4 3" xfId="127" xr:uid="{00000000-0005-0000-0000-0000D9000000}"/>
    <cellStyle name="Entrada 2 5" xfId="128" xr:uid="{00000000-0005-0000-0000-0000DA000000}"/>
    <cellStyle name="Entrada 2 5 2" xfId="129" xr:uid="{00000000-0005-0000-0000-0000DB000000}"/>
    <cellStyle name="Entrada 2 5 2 2" xfId="1459" xr:uid="{00000000-0005-0000-0000-0000DC000000}"/>
    <cellStyle name="Entrada 2 5 2 3" xfId="1460" xr:uid="{00000000-0005-0000-0000-0000DD000000}"/>
    <cellStyle name="Entrada 2 5 2 4" xfId="1461" xr:uid="{00000000-0005-0000-0000-0000DE000000}"/>
    <cellStyle name="Entrada 2 5 3" xfId="130" xr:uid="{00000000-0005-0000-0000-0000DF000000}"/>
    <cellStyle name="Entrada 2 6" xfId="131" xr:uid="{00000000-0005-0000-0000-0000E0000000}"/>
    <cellStyle name="Entrada 2 6 2" xfId="132" xr:uid="{00000000-0005-0000-0000-0000E1000000}"/>
    <cellStyle name="Entrada 2 6 2 2" xfId="1462" xr:uid="{00000000-0005-0000-0000-0000E2000000}"/>
    <cellStyle name="Entrada 2 6 2 3" xfId="1463" xr:uid="{00000000-0005-0000-0000-0000E3000000}"/>
    <cellStyle name="Entrada 2 6 2 4" xfId="1464" xr:uid="{00000000-0005-0000-0000-0000E4000000}"/>
    <cellStyle name="Entrada 2 6 3" xfId="133" xr:uid="{00000000-0005-0000-0000-0000E5000000}"/>
    <cellStyle name="Entrada 2 7" xfId="134" xr:uid="{00000000-0005-0000-0000-0000E6000000}"/>
    <cellStyle name="Entrada 2 7 2" xfId="135" xr:uid="{00000000-0005-0000-0000-0000E7000000}"/>
    <cellStyle name="Entrada 2 7 2 2" xfId="1465" xr:uid="{00000000-0005-0000-0000-0000E8000000}"/>
    <cellStyle name="Entrada 2 7 2 3" xfId="1466" xr:uid="{00000000-0005-0000-0000-0000E9000000}"/>
    <cellStyle name="Entrada 2 7 2 4" xfId="1467" xr:uid="{00000000-0005-0000-0000-0000EA000000}"/>
    <cellStyle name="Entrada 2 7 3" xfId="136" xr:uid="{00000000-0005-0000-0000-0000EB000000}"/>
    <cellStyle name="Entrada 2 8" xfId="137" xr:uid="{00000000-0005-0000-0000-0000EC000000}"/>
    <cellStyle name="Entrada 2 8 2" xfId="138" xr:uid="{00000000-0005-0000-0000-0000ED000000}"/>
    <cellStyle name="Entrada 2 8 2 2" xfId="1468" xr:uid="{00000000-0005-0000-0000-0000EE000000}"/>
    <cellStyle name="Entrada 2 8 2 3" xfId="1469" xr:uid="{00000000-0005-0000-0000-0000EF000000}"/>
    <cellStyle name="Entrada 2 8 2 4" xfId="1470" xr:uid="{00000000-0005-0000-0000-0000F0000000}"/>
    <cellStyle name="Entrada 2 8 3" xfId="139" xr:uid="{00000000-0005-0000-0000-0000F1000000}"/>
    <cellStyle name="Entrada 2 9" xfId="140" xr:uid="{00000000-0005-0000-0000-0000F2000000}"/>
    <cellStyle name="Entrada 2 9 2" xfId="141" xr:uid="{00000000-0005-0000-0000-0000F3000000}"/>
    <cellStyle name="Entrada 2 9 2 2" xfId="1471" xr:uid="{00000000-0005-0000-0000-0000F4000000}"/>
    <cellStyle name="Entrada 2 9 2 3" xfId="1472" xr:uid="{00000000-0005-0000-0000-0000F5000000}"/>
    <cellStyle name="Entrada 2 9 2 4" xfId="1473" xr:uid="{00000000-0005-0000-0000-0000F6000000}"/>
    <cellStyle name="Entrada 2 9 3" xfId="142" xr:uid="{00000000-0005-0000-0000-0000F7000000}"/>
    <cellStyle name="Euro" xfId="143" xr:uid="{00000000-0005-0000-0000-0000F8000000}"/>
    <cellStyle name="Euro 2" xfId="144" xr:uid="{00000000-0005-0000-0000-0000F9000000}"/>
    <cellStyle name="Euro 2 2" xfId="145" xr:uid="{00000000-0005-0000-0000-0000FA000000}"/>
    <cellStyle name="Euro 2 3" xfId="146" xr:uid="{00000000-0005-0000-0000-0000FB000000}"/>
    <cellStyle name="Euro 2 4" xfId="147" xr:uid="{00000000-0005-0000-0000-0000FC000000}"/>
    <cellStyle name="Euro 2 5" xfId="148" xr:uid="{00000000-0005-0000-0000-0000FD000000}"/>
    <cellStyle name="Euro 3" xfId="149" xr:uid="{00000000-0005-0000-0000-0000FE000000}"/>
    <cellStyle name="Euro 3 2" xfId="150" xr:uid="{00000000-0005-0000-0000-0000FF000000}"/>
    <cellStyle name="Euro 3 2 2" xfId="151" xr:uid="{00000000-0005-0000-0000-000000010000}"/>
    <cellStyle name="Euro 3 3" xfId="152" xr:uid="{00000000-0005-0000-0000-000001010000}"/>
    <cellStyle name="Euro 3 4" xfId="153" xr:uid="{00000000-0005-0000-0000-000002010000}"/>
    <cellStyle name="Euro 4" xfId="154" xr:uid="{00000000-0005-0000-0000-000003010000}"/>
    <cellStyle name="Euro 4 2" xfId="155" xr:uid="{00000000-0005-0000-0000-000004010000}"/>
    <cellStyle name="Euro 5" xfId="156" xr:uid="{00000000-0005-0000-0000-000005010000}"/>
    <cellStyle name="Euro 5 2" xfId="157" xr:uid="{00000000-0005-0000-0000-000006010000}"/>
    <cellStyle name="Euro 6" xfId="158" xr:uid="{00000000-0005-0000-0000-000007010000}"/>
    <cellStyle name="Euro 7" xfId="159" xr:uid="{00000000-0005-0000-0000-000008010000}"/>
    <cellStyle name="Euro 8" xfId="160" xr:uid="{00000000-0005-0000-0000-000009010000}"/>
    <cellStyle name="Euro_2009 BASE DE DATOS obras vigentes" xfId="161" xr:uid="{00000000-0005-0000-0000-00000A010000}"/>
    <cellStyle name="Hipervínculo" xfId="2" builtinId="8"/>
    <cellStyle name="Hipervínculo 2" xfId="162" xr:uid="{00000000-0005-0000-0000-00000C010000}"/>
    <cellStyle name="Hipervínculo 2 2" xfId="1474" xr:uid="{00000000-0005-0000-0000-00000D010000}"/>
    <cellStyle name="Hipervínculo 2 3" xfId="1654" xr:uid="{00000000-0005-0000-0000-00000E010000}"/>
    <cellStyle name="Hipervínculo 2 4" xfId="1655" xr:uid="{00000000-0005-0000-0000-00000F010000}"/>
    <cellStyle name="Hipervínculo 3" xfId="1475" xr:uid="{00000000-0005-0000-0000-000010010000}"/>
    <cellStyle name="Hipervínculo 4" xfId="1476" xr:uid="{00000000-0005-0000-0000-000011010000}"/>
    <cellStyle name="Hipervínculo 5" xfId="1644" xr:uid="{00000000-0005-0000-0000-000012010000}"/>
    <cellStyle name="Hyperlink 2" xfId="163" xr:uid="{00000000-0005-0000-0000-000013010000}"/>
    <cellStyle name="Incorrecto 2" xfId="164" xr:uid="{00000000-0005-0000-0000-000014010000}"/>
    <cellStyle name="Millares 2" xfId="165" xr:uid="{00000000-0005-0000-0000-000015010000}"/>
    <cellStyle name="Millares 2 10" xfId="166" xr:uid="{00000000-0005-0000-0000-000016010000}"/>
    <cellStyle name="Millares 2 13" xfId="167" xr:uid="{00000000-0005-0000-0000-000017010000}"/>
    <cellStyle name="Millares 2 14" xfId="168" xr:uid="{00000000-0005-0000-0000-000018010000}"/>
    <cellStyle name="Millares 2 2" xfId="169" xr:uid="{00000000-0005-0000-0000-000019010000}"/>
    <cellStyle name="Millares 2 3" xfId="170" xr:uid="{00000000-0005-0000-0000-00001A010000}"/>
    <cellStyle name="Millares 2 4" xfId="171" xr:uid="{00000000-0005-0000-0000-00001B010000}"/>
    <cellStyle name="Millares 2 5" xfId="172" xr:uid="{00000000-0005-0000-0000-00001C010000}"/>
    <cellStyle name="Millares 2 6" xfId="173" xr:uid="{00000000-0005-0000-0000-00001D010000}"/>
    <cellStyle name="Millares 2 6 2" xfId="174" xr:uid="{00000000-0005-0000-0000-00001E010000}"/>
    <cellStyle name="Millares 2 7" xfId="175" xr:uid="{00000000-0005-0000-0000-00001F010000}"/>
    <cellStyle name="Millares 2 8" xfId="176" xr:uid="{00000000-0005-0000-0000-000020010000}"/>
    <cellStyle name="Millares 3" xfId="177" xr:uid="{00000000-0005-0000-0000-000021010000}"/>
    <cellStyle name="Millares 3 2" xfId="178" xr:uid="{00000000-0005-0000-0000-000022010000}"/>
    <cellStyle name="Millares 3 3" xfId="179" xr:uid="{00000000-0005-0000-0000-000023010000}"/>
    <cellStyle name="Millares 3 4" xfId="180" xr:uid="{00000000-0005-0000-0000-000024010000}"/>
    <cellStyle name="Millares 4" xfId="181" xr:uid="{00000000-0005-0000-0000-000025010000}"/>
    <cellStyle name="Millares 4 10" xfId="182" xr:uid="{00000000-0005-0000-0000-000026010000}"/>
    <cellStyle name="Millares 4 11" xfId="183" xr:uid="{00000000-0005-0000-0000-000027010000}"/>
    <cellStyle name="Millares 4 12" xfId="184" xr:uid="{00000000-0005-0000-0000-000028010000}"/>
    <cellStyle name="Millares 4 13" xfId="185" xr:uid="{00000000-0005-0000-0000-000029010000}"/>
    <cellStyle name="Millares 4 14" xfId="186" xr:uid="{00000000-0005-0000-0000-00002A010000}"/>
    <cellStyle name="Millares 4 15" xfId="187" xr:uid="{00000000-0005-0000-0000-00002B010000}"/>
    <cellStyle name="Millares 4 16" xfId="188" xr:uid="{00000000-0005-0000-0000-00002C010000}"/>
    <cellStyle name="Millares 4 17" xfId="189" xr:uid="{00000000-0005-0000-0000-00002D010000}"/>
    <cellStyle name="Millares 4 18" xfId="190" xr:uid="{00000000-0005-0000-0000-00002E010000}"/>
    <cellStyle name="Millares 4 19" xfId="191" xr:uid="{00000000-0005-0000-0000-00002F010000}"/>
    <cellStyle name="Millares 4 2" xfId="192" xr:uid="{00000000-0005-0000-0000-000030010000}"/>
    <cellStyle name="Millares 4 2 10" xfId="193" xr:uid="{00000000-0005-0000-0000-000031010000}"/>
    <cellStyle name="Millares 4 2 11" xfId="194" xr:uid="{00000000-0005-0000-0000-000032010000}"/>
    <cellStyle name="Millares 4 2 12" xfId="195" xr:uid="{00000000-0005-0000-0000-000033010000}"/>
    <cellStyle name="Millares 4 2 13" xfId="196" xr:uid="{00000000-0005-0000-0000-000034010000}"/>
    <cellStyle name="Millares 4 2 14" xfId="197" xr:uid="{00000000-0005-0000-0000-000035010000}"/>
    <cellStyle name="Millares 4 2 15" xfId="198" xr:uid="{00000000-0005-0000-0000-000036010000}"/>
    <cellStyle name="Millares 4 2 16" xfId="199" xr:uid="{00000000-0005-0000-0000-000037010000}"/>
    <cellStyle name="Millares 4 2 17" xfId="200" xr:uid="{00000000-0005-0000-0000-000038010000}"/>
    <cellStyle name="Millares 4 2 18" xfId="201" xr:uid="{00000000-0005-0000-0000-000039010000}"/>
    <cellStyle name="Millares 4 2 19" xfId="202" xr:uid="{00000000-0005-0000-0000-00003A010000}"/>
    <cellStyle name="Millares 4 2 2" xfId="203" xr:uid="{00000000-0005-0000-0000-00003B010000}"/>
    <cellStyle name="Millares 4 2 2 10" xfId="204" xr:uid="{00000000-0005-0000-0000-00003C010000}"/>
    <cellStyle name="Millares 4 2 2 11" xfId="205" xr:uid="{00000000-0005-0000-0000-00003D010000}"/>
    <cellStyle name="Millares 4 2 2 12" xfId="206" xr:uid="{00000000-0005-0000-0000-00003E010000}"/>
    <cellStyle name="Millares 4 2 2 13" xfId="207" xr:uid="{00000000-0005-0000-0000-00003F010000}"/>
    <cellStyle name="Millares 4 2 2 14" xfId="208" xr:uid="{00000000-0005-0000-0000-000040010000}"/>
    <cellStyle name="Millares 4 2 2 15" xfId="209" xr:uid="{00000000-0005-0000-0000-000041010000}"/>
    <cellStyle name="Millares 4 2 2 16" xfId="210" xr:uid="{00000000-0005-0000-0000-000042010000}"/>
    <cellStyle name="Millares 4 2 2 17" xfId="211" xr:uid="{00000000-0005-0000-0000-000043010000}"/>
    <cellStyle name="Millares 4 2 2 18" xfId="212" xr:uid="{00000000-0005-0000-0000-000044010000}"/>
    <cellStyle name="Millares 4 2 2 2" xfId="213" xr:uid="{00000000-0005-0000-0000-000045010000}"/>
    <cellStyle name="Millares 4 2 2 3" xfId="214" xr:uid="{00000000-0005-0000-0000-000046010000}"/>
    <cellStyle name="Millares 4 2 2 4" xfId="215" xr:uid="{00000000-0005-0000-0000-000047010000}"/>
    <cellStyle name="Millares 4 2 2 5" xfId="216" xr:uid="{00000000-0005-0000-0000-000048010000}"/>
    <cellStyle name="Millares 4 2 2 6" xfId="217" xr:uid="{00000000-0005-0000-0000-000049010000}"/>
    <cellStyle name="Millares 4 2 2 7" xfId="218" xr:uid="{00000000-0005-0000-0000-00004A010000}"/>
    <cellStyle name="Millares 4 2 2 8" xfId="219" xr:uid="{00000000-0005-0000-0000-00004B010000}"/>
    <cellStyle name="Millares 4 2 2 9" xfId="220" xr:uid="{00000000-0005-0000-0000-00004C010000}"/>
    <cellStyle name="Millares 4 2 3" xfId="221" xr:uid="{00000000-0005-0000-0000-00004D010000}"/>
    <cellStyle name="Millares 4 2 3 2" xfId="222" xr:uid="{00000000-0005-0000-0000-00004E010000}"/>
    <cellStyle name="Millares 4 2 3 3" xfId="223" xr:uid="{00000000-0005-0000-0000-00004F010000}"/>
    <cellStyle name="Millares 4 2 3 4" xfId="224" xr:uid="{00000000-0005-0000-0000-000050010000}"/>
    <cellStyle name="Millares 4 2 3 5" xfId="225" xr:uid="{00000000-0005-0000-0000-000051010000}"/>
    <cellStyle name="Millares 4 2 4" xfId="226" xr:uid="{00000000-0005-0000-0000-000052010000}"/>
    <cellStyle name="Millares 4 2 5" xfId="227" xr:uid="{00000000-0005-0000-0000-000053010000}"/>
    <cellStyle name="Millares 4 2 6" xfId="228" xr:uid="{00000000-0005-0000-0000-000054010000}"/>
    <cellStyle name="Millares 4 2 7" xfId="229" xr:uid="{00000000-0005-0000-0000-000055010000}"/>
    <cellStyle name="Millares 4 2 8" xfId="230" xr:uid="{00000000-0005-0000-0000-000056010000}"/>
    <cellStyle name="Millares 4 2 9" xfId="231" xr:uid="{00000000-0005-0000-0000-000057010000}"/>
    <cellStyle name="Millares 4 20" xfId="232" xr:uid="{00000000-0005-0000-0000-000058010000}"/>
    <cellStyle name="Millares 4 21" xfId="233" xr:uid="{00000000-0005-0000-0000-000059010000}"/>
    <cellStyle name="Millares 4 22" xfId="234" xr:uid="{00000000-0005-0000-0000-00005A010000}"/>
    <cellStyle name="Millares 4 3" xfId="235" xr:uid="{00000000-0005-0000-0000-00005B010000}"/>
    <cellStyle name="Millares 4 3 10" xfId="236" xr:uid="{00000000-0005-0000-0000-00005C010000}"/>
    <cellStyle name="Millares 4 3 11" xfId="237" xr:uid="{00000000-0005-0000-0000-00005D010000}"/>
    <cellStyle name="Millares 4 3 12" xfId="238" xr:uid="{00000000-0005-0000-0000-00005E010000}"/>
    <cellStyle name="Millares 4 3 13" xfId="239" xr:uid="{00000000-0005-0000-0000-00005F010000}"/>
    <cellStyle name="Millares 4 3 14" xfId="240" xr:uid="{00000000-0005-0000-0000-000060010000}"/>
    <cellStyle name="Millares 4 3 15" xfId="241" xr:uid="{00000000-0005-0000-0000-000061010000}"/>
    <cellStyle name="Millares 4 3 16" xfId="242" xr:uid="{00000000-0005-0000-0000-000062010000}"/>
    <cellStyle name="Millares 4 3 17" xfId="243" xr:uid="{00000000-0005-0000-0000-000063010000}"/>
    <cellStyle name="Millares 4 3 18" xfId="244" xr:uid="{00000000-0005-0000-0000-000064010000}"/>
    <cellStyle name="Millares 4 3 19" xfId="245" xr:uid="{00000000-0005-0000-0000-000065010000}"/>
    <cellStyle name="Millares 4 3 2" xfId="246" xr:uid="{00000000-0005-0000-0000-000066010000}"/>
    <cellStyle name="Millares 4 3 2 10" xfId="247" xr:uid="{00000000-0005-0000-0000-000067010000}"/>
    <cellStyle name="Millares 4 3 2 11" xfId="248" xr:uid="{00000000-0005-0000-0000-000068010000}"/>
    <cellStyle name="Millares 4 3 2 12" xfId="249" xr:uid="{00000000-0005-0000-0000-000069010000}"/>
    <cellStyle name="Millares 4 3 2 13" xfId="250" xr:uid="{00000000-0005-0000-0000-00006A010000}"/>
    <cellStyle name="Millares 4 3 2 14" xfId="251" xr:uid="{00000000-0005-0000-0000-00006B010000}"/>
    <cellStyle name="Millares 4 3 2 15" xfId="252" xr:uid="{00000000-0005-0000-0000-00006C010000}"/>
    <cellStyle name="Millares 4 3 2 16" xfId="253" xr:uid="{00000000-0005-0000-0000-00006D010000}"/>
    <cellStyle name="Millares 4 3 2 17" xfId="254" xr:uid="{00000000-0005-0000-0000-00006E010000}"/>
    <cellStyle name="Millares 4 3 2 18" xfId="255" xr:uid="{00000000-0005-0000-0000-00006F010000}"/>
    <cellStyle name="Millares 4 3 2 2" xfId="256" xr:uid="{00000000-0005-0000-0000-000070010000}"/>
    <cellStyle name="Millares 4 3 2 3" xfId="257" xr:uid="{00000000-0005-0000-0000-000071010000}"/>
    <cellStyle name="Millares 4 3 2 4" xfId="258" xr:uid="{00000000-0005-0000-0000-000072010000}"/>
    <cellStyle name="Millares 4 3 2 5" xfId="259" xr:uid="{00000000-0005-0000-0000-000073010000}"/>
    <cellStyle name="Millares 4 3 2 6" xfId="260" xr:uid="{00000000-0005-0000-0000-000074010000}"/>
    <cellStyle name="Millares 4 3 2 7" xfId="261" xr:uid="{00000000-0005-0000-0000-000075010000}"/>
    <cellStyle name="Millares 4 3 2 8" xfId="262" xr:uid="{00000000-0005-0000-0000-000076010000}"/>
    <cellStyle name="Millares 4 3 2 9" xfId="263" xr:uid="{00000000-0005-0000-0000-000077010000}"/>
    <cellStyle name="Millares 4 3 3" xfId="264" xr:uid="{00000000-0005-0000-0000-000078010000}"/>
    <cellStyle name="Millares 4 3 4" xfId="265" xr:uid="{00000000-0005-0000-0000-000079010000}"/>
    <cellStyle name="Millares 4 3 5" xfId="266" xr:uid="{00000000-0005-0000-0000-00007A010000}"/>
    <cellStyle name="Millares 4 3 6" xfId="267" xr:uid="{00000000-0005-0000-0000-00007B010000}"/>
    <cellStyle name="Millares 4 3 7" xfId="268" xr:uid="{00000000-0005-0000-0000-00007C010000}"/>
    <cellStyle name="Millares 4 3 8" xfId="269" xr:uid="{00000000-0005-0000-0000-00007D010000}"/>
    <cellStyle name="Millares 4 3 9" xfId="270" xr:uid="{00000000-0005-0000-0000-00007E010000}"/>
    <cellStyle name="Millares 4 4" xfId="271" xr:uid="{00000000-0005-0000-0000-00007F010000}"/>
    <cellStyle name="Millares 4 4 10" xfId="272" xr:uid="{00000000-0005-0000-0000-000080010000}"/>
    <cellStyle name="Millares 4 4 11" xfId="273" xr:uid="{00000000-0005-0000-0000-000081010000}"/>
    <cellStyle name="Millares 4 4 12" xfId="274" xr:uid="{00000000-0005-0000-0000-000082010000}"/>
    <cellStyle name="Millares 4 4 13" xfId="275" xr:uid="{00000000-0005-0000-0000-000083010000}"/>
    <cellStyle name="Millares 4 4 14" xfId="276" xr:uid="{00000000-0005-0000-0000-000084010000}"/>
    <cellStyle name="Millares 4 4 15" xfId="277" xr:uid="{00000000-0005-0000-0000-000085010000}"/>
    <cellStyle name="Millares 4 4 16" xfId="278" xr:uid="{00000000-0005-0000-0000-000086010000}"/>
    <cellStyle name="Millares 4 4 17" xfId="279" xr:uid="{00000000-0005-0000-0000-000087010000}"/>
    <cellStyle name="Millares 4 4 18" xfId="280" xr:uid="{00000000-0005-0000-0000-000088010000}"/>
    <cellStyle name="Millares 4 4 2" xfId="281" xr:uid="{00000000-0005-0000-0000-000089010000}"/>
    <cellStyle name="Millares 4 4 3" xfId="282" xr:uid="{00000000-0005-0000-0000-00008A010000}"/>
    <cellStyle name="Millares 4 4 4" xfId="283" xr:uid="{00000000-0005-0000-0000-00008B010000}"/>
    <cellStyle name="Millares 4 4 5" xfId="284" xr:uid="{00000000-0005-0000-0000-00008C010000}"/>
    <cellStyle name="Millares 4 4 6" xfId="285" xr:uid="{00000000-0005-0000-0000-00008D010000}"/>
    <cellStyle name="Millares 4 4 7" xfId="286" xr:uid="{00000000-0005-0000-0000-00008E010000}"/>
    <cellStyle name="Millares 4 4 8" xfId="287" xr:uid="{00000000-0005-0000-0000-00008F010000}"/>
    <cellStyle name="Millares 4 4 9" xfId="288" xr:uid="{00000000-0005-0000-0000-000090010000}"/>
    <cellStyle name="Millares 4 5" xfId="289" xr:uid="{00000000-0005-0000-0000-000091010000}"/>
    <cellStyle name="Millares 4 6" xfId="290" xr:uid="{00000000-0005-0000-0000-000092010000}"/>
    <cellStyle name="Millares 4 7" xfId="291" xr:uid="{00000000-0005-0000-0000-000093010000}"/>
    <cellStyle name="Millares 4 8" xfId="292" xr:uid="{00000000-0005-0000-0000-000094010000}"/>
    <cellStyle name="Millares 4 9" xfId="293" xr:uid="{00000000-0005-0000-0000-000095010000}"/>
    <cellStyle name="Moneda" xfId="1657" builtinId="4"/>
    <cellStyle name="Moneda 10 2" xfId="294" xr:uid="{00000000-0005-0000-0000-000097010000}"/>
    <cellStyle name="Moneda 11" xfId="295" xr:uid="{00000000-0005-0000-0000-000098010000}"/>
    <cellStyle name="Moneda 11 10" xfId="296" xr:uid="{00000000-0005-0000-0000-000099010000}"/>
    <cellStyle name="Moneda 11 11" xfId="297" xr:uid="{00000000-0005-0000-0000-00009A010000}"/>
    <cellStyle name="Moneda 11 12" xfId="298" xr:uid="{00000000-0005-0000-0000-00009B010000}"/>
    <cellStyle name="Moneda 11 13" xfId="299" xr:uid="{00000000-0005-0000-0000-00009C010000}"/>
    <cellStyle name="Moneda 11 14" xfId="300" xr:uid="{00000000-0005-0000-0000-00009D010000}"/>
    <cellStyle name="Moneda 11 15" xfId="301" xr:uid="{00000000-0005-0000-0000-00009E010000}"/>
    <cellStyle name="Moneda 11 16" xfId="302" xr:uid="{00000000-0005-0000-0000-00009F010000}"/>
    <cellStyle name="Moneda 11 17" xfId="303" xr:uid="{00000000-0005-0000-0000-0000A0010000}"/>
    <cellStyle name="Moneda 11 18" xfId="304" xr:uid="{00000000-0005-0000-0000-0000A1010000}"/>
    <cellStyle name="Moneda 11 19" xfId="305" xr:uid="{00000000-0005-0000-0000-0000A2010000}"/>
    <cellStyle name="Moneda 11 2" xfId="306" xr:uid="{00000000-0005-0000-0000-0000A3010000}"/>
    <cellStyle name="Moneda 11 20" xfId="307" xr:uid="{00000000-0005-0000-0000-0000A4010000}"/>
    <cellStyle name="Moneda 11 21" xfId="308" xr:uid="{00000000-0005-0000-0000-0000A5010000}"/>
    <cellStyle name="Moneda 11 22" xfId="309" xr:uid="{00000000-0005-0000-0000-0000A6010000}"/>
    <cellStyle name="Moneda 11 23" xfId="310" xr:uid="{00000000-0005-0000-0000-0000A7010000}"/>
    <cellStyle name="Moneda 11 24" xfId="311" xr:uid="{00000000-0005-0000-0000-0000A8010000}"/>
    <cellStyle name="Moneda 11 25" xfId="312" xr:uid="{00000000-0005-0000-0000-0000A9010000}"/>
    <cellStyle name="Moneda 11 26" xfId="313" xr:uid="{00000000-0005-0000-0000-0000AA010000}"/>
    <cellStyle name="Moneda 11 27" xfId="314" xr:uid="{00000000-0005-0000-0000-0000AB010000}"/>
    <cellStyle name="Moneda 11 28" xfId="315" xr:uid="{00000000-0005-0000-0000-0000AC010000}"/>
    <cellStyle name="Moneda 11 29" xfId="316" xr:uid="{00000000-0005-0000-0000-0000AD010000}"/>
    <cellStyle name="Moneda 11 3" xfId="317" xr:uid="{00000000-0005-0000-0000-0000AE010000}"/>
    <cellStyle name="Moneda 11 30" xfId="318" xr:uid="{00000000-0005-0000-0000-0000AF010000}"/>
    <cellStyle name="Moneda 11 31" xfId="319" xr:uid="{00000000-0005-0000-0000-0000B0010000}"/>
    <cellStyle name="Moneda 11 32" xfId="320" xr:uid="{00000000-0005-0000-0000-0000B1010000}"/>
    <cellStyle name="Moneda 11 33" xfId="321" xr:uid="{00000000-0005-0000-0000-0000B2010000}"/>
    <cellStyle name="Moneda 11 4" xfId="322" xr:uid="{00000000-0005-0000-0000-0000B3010000}"/>
    <cellStyle name="Moneda 11 5" xfId="323" xr:uid="{00000000-0005-0000-0000-0000B4010000}"/>
    <cellStyle name="Moneda 11 6" xfId="324" xr:uid="{00000000-0005-0000-0000-0000B5010000}"/>
    <cellStyle name="Moneda 11 7" xfId="325" xr:uid="{00000000-0005-0000-0000-0000B6010000}"/>
    <cellStyle name="Moneda 11 8" xfId="326" xr:uid="{00000000-0005-0000-0000-0000B7010000}"/>
    <cellStyle name="Moneda 11 9" xfId="327" xr:uid="{00000000-0005-0000-0000-0000B8010000}"/>
    <cellStyle name="Moneda 12" xfId="328" xr:uid="{00000000-0005-0000-0000-0000B9010000}"/>
    <cellStyle name="Moneda 12 10" xfId="329" xr:uid="{00000000-0005-0000-0000-0000BA010000}"/>
    <cellStyle name="Moneda 12 11" xfId="330" xr:uid="{00000000-0005-0000-0000-0000BB010000}"/>
    <cellStyle name="Moneda 12 12" xfId="331" xr:uid="{00000000-0005-0000-0000-0000BC010000}"/>
    <cellStyle name="Moneda 12 13" xfId="332" xr:uid="{00000000-0005-0000-0000-0000BD010000}"/>
    <cellStyle name="Moneda 12 14" xfId="333" xr:uid="{00000000-0005-0000-0000-0000BE010000}"/>
    <cellStyle name="Moneda 12 15" xfId="334" xr:uid="{00000000-0005-0000-0000-0000BF010000}"/>
    <cellStyle name="Moneda 12 15 2" xfId="335" xr:uid="{00000000-0005-0000-0000-0000C0010000}"/>
    <cellStyle name="Moneda 12 15 2 2" xfId="336" xr:uid="{00000000-0005-0000-0000-0000C1010000}"/>
    <cellStyle name="Moneda 12 15 3" xfId="337" xr:uid="{00000000-0005-0000-0000-0000C2010000}"/>
    <cellStyle name="Moneda 12 16" xfId="338" xr:uid="{00000000-0005-0000-0000-0000C3010000}"/>
    <cellStyle name="Moneda 12 17" xfId="339" xr:uid="{00000000-0005-0000-0000-0000C4010000}"/>
    <cellStyle name="Moneda 12 18" xfId="340" xr:uid="{00000000-0005-0000-0000-0000C5010000}"/>
    <cellStyle name="Moneda 12 19" xfId="341" xr:uid="{00000000-0005-0000-0000-0000C6010000}"/>
    <cellStyle name="Moneda 12 2" xfId="342" xr:uid="{00000000-0005-0000-0000-0000C7010000}"/>
    <cellStyle name="Moneda 12 20" xfId="343" xr:uid="{00000000-0005-0000-0000-0000C8010000}"/>
    <cellStyle name="Moneda 12 21" xfId="344" xr:uid="{00000000-0005-0000-0000-0000C9010000}"/>
    <cellStyle name="Moneda 12 22" xfId="345" xr:uid="{00000000-0005-0000-0000-0000CA010000}"/>
    <cellStyle name="Moneda 12 23" xfId="346" xr:uid="{00000000-0005-0000-0000-0000CB010000}"/>
    <cellStyle name="Moneda 12 24" xfId="347" xr:uid="{00000000-0005-0000-0000-0000CC010000}"/>
    <cellStyle name="Moneda 12 25" xfId="348" xr:uid="{00000000-0005-0000-0000-0000CD010000}"/>
    <cellStyle name="Moneda 12 26" xfId="349" xr:uid="{00000000-0005-0000-0000-0000CE010000}"/>
    <cellStyle name="Moneda 12 27" xfId="350" xr:uid="{00000000-0005-0000-0000-0000CF010000}"/>
    <cellStyle name="Moneda 12 28" xfId="351" xr:uid="{00000000-0005-0000-0000-0000D0010000}"/>
    <cellStyle name="Moneda 12 29" xfId="352" xr:uid="{00000000-0005-0000-0000-0000D1010000}"/>
    <cellStyle name="Moneda 12 3" xfId="353" xr:uid="{00000000-0005-0000-0000-0000D2010000}"/>
    <cellStyle name="Moneda 12 30" xfId="354" xr:uid="{00000000-0005-0000-0000-0000D3010000}"/>
    <cellStyle name="Moneda 12 31" xfId="355" xr:uid="{00000000-0005-0000-0000-0000D4010000}"/>
    <cellStyle name="Moneda 12 32" xfId="356" xr:uid="{00000000-0005-0000-0000-0000D5010000}"/>
    <cellStyle name="Moneda 12 33" xfId="357" xr:uid="{00000000-0005-0000-0000-0000D6010000}"/>
    <cellStyle name="Moneda 12 4" xfId="358" xr:uid="{00000000-0005-0000-0000-0000D7010000}"/>
    <cellStyle name="Moneda 12 5" xfId="359" xr:uid="{00000000-0005-0000-0000-0000D8010000}"/>
    <cellStyle name="Moneda 12 6" xfId="360" xr:uid="{00000000-0005-0000-0000-0000D9010000}"/>
    <cellStyle name="Moneda 12 7" xfId="361" xr:uid="{00000000-0005-0000-0000-0000DA010000}"/>
    <cellStyle name="Moneda 12 8" xfId="362" xr:uid="{00000000-0005-0000-0000-0000DB010000}"/>
    <cellStyle name="Moneda 12 9" xfId="363" xr:uid="{00000000-0005-0000-0000-0000DC010000}"/>
    <cellStyle name="Moneda 13" xfId="1477" xr:uid="{00000000-0005-0000-0000-0000DD010000}"/>
    <cellStyle name="Moneda 14" xfId="364" xr:uid="{00000000-0005-0000-0000-0000DE010000}"/>
    <cellStyle name="Moneda 14 2" xfId="365" xr:uid="{00000000-0005-0000-0000-0000DF010000}"/>
    <cellStyle name="Moneda 2" xfId="366" xr:uid="{00000000-0005-0000-0000-0000E0010000}"/>
    <cellStyle name="Moneda 2 10" xfId="367" xr:uid="{00000000-0005-0000-0000-0000E1010000}"/>
    <cellStyle name="Moneda 2 11" xfId="368" xr:uid="{00000000-0005-0000-0000-0000E2010000}"/>
    <cellStyle name="Moneda 2 12" xfId="369" xr:uid="{00000000-0005-0000-0000-0000E3010000}"/>
    <cellStyle name="Moneda 2 13" xfId="370" xr:uid="{00000000-0005-0000-0000-0000E4010000}"/>
    <cellStyle name="Moneda 2 14" xfId="371" xr:uid="{00000000-0005-0000-0000-0000E5010000}"/>
    <cellStyle name="Moneda 2 15" xfId="372" xr:uid="{00000000-0005-0000-0000-0000E6010000}"/>
    <cellStyle name="Moneda 2 16" xfId="373" xr:uid="{00000000-0005-0000-0000-0000E7010000}"/>
    <cellStyle name="Moneda 2 17" xfId="374" xr:uid="{00000000-0005-0000-0000-0000E8010000}"/>
    <cellStyle name="Moneda 2 18" xfId="375" xr:uid="{00000000-0005-0000-0000-0000E9010000}"/>
    <cellStyle name="Moneda 2 19" xfId="376" xr:uid="{00000000-0005-0000-0000-0000EA010000}"/>
    <cellStyle name="Moneda 2 2" xfId="377" xr:uid="{00000000-0005-0000-0000-0000EB010000}"/>
    <cellStyle name="Moneda 2 2 12" xfId="378" xr:uid="{00000000-0005-0000-0000-0000EC010000}"/>
    <cellStyle name="Moneda 2 20" xfId="379" xr:uid="{00000000-0005-0000-0000-0000ED010000}"/>
    <cellStyle name="Moneda 2 21" xfId="380" xr:uid="{00000000-0005-0000-0000-0000EE010000}"/>
    <cellStyle name="Moneda 2 22" xfId="381" xr:uid="{00000000-0005-0000-0000-0000EF010000}"/>
    <cellStyle name="Moneda 2 23" xfId="382" xr:uid="{00000000-0005-0000-0000-0000F0010000}"/>
    <cellStyle name="Moneda 2 24" xfId="383" xr:uid="{00000000-0005-0000-0000-0000F1010000}"/>
    <cellStyle name="Moneda 2 25" xfId="384" xr:uid="{00000000-0005-0000-0000-0000F2010000}"/>
    <cellStyle name="Moneda 2 26" xfId="385" xr:uid="{00000000-0005-0000-0000-0000F3010000}"/>
    <cellStyle name="Moneda 2 27" xfId="386" xr:uid="{00000000-0005-0000-0000-0000F4010000}"/>
    <cellStyle name="Moneda 2 28" xfId="387" xr:uid="{00000000-0005-0000-0000-0000F5010000}"/>
    <cellStyle name="Moneda 2 29" xfId="388" xr:uid="{00000000-0005-0000-0000-0000F6010000}"/>
    <cellStyle name="Moneda 2 3" xfId="389" xr:uid="{00000000-0005-0000-0000-0000F7010000}"/>
    <cellStyle name="Moneda 2 30" xfId="390" xr:uid="{00000000-0005-0000-0000-0000F8010000}"/>
    <cellStyle name="Moneda 2 31" xfId="391" xr:uid="{00000000-0005-0000-0000-0000F9010000}"/>
    <cellStyle name="Moneda 2 32" xfId="392" xr:uid="{00000000-0005-0000-0000-0000FA010000}"/>
    <cellStyle name="Moneda 2 33" xfId="393" xr:uid="{00000000-0005-0000-0000-0000FB010000}"/>
    <cellStyle name="Moneda 2 34" xfId="1648" xr:uid="{00000000-0005-0000-0000-0000FC010000}"/>
    <cellStyle name="Moneda 2 4" xfId="394" xr:uid="{00000000-0005-0000-0000-0000FD010000}"/>
    <cellStyle name="Moneda 2 5" xfId="395" xr:uid="{00000000-0005-0000-0000-0000FE010000}"/>
    <cellStyle name="Moneda 2 6" xfId="396" xr:uid="{00000000-0005-0000-0000-0000FF010000}"/>
    <cellStyle name="Moneda 2 7" xfId="397" xr:uid="{00000000-0005-0000-0000-000000020000}"/>
    <cellStyle name="Moneda 2 8" xfId="398" xr:uid="{00000000-0005-0000-0000-000001020000}"/>
    <cellStyle name="Moneda 2 9" xfId="399" xr:uid="{00000000-0005-0000-0000-000002020000}"/>
    <cellStyle name="Moneda 3" xfId="400" xr:uid="{00000000-0005-0000-0000-000003020000}"/>
    <cellStyle name="Moneda 3 2" xfId="401" xr:uid="{00000000-0005-0000-0000-000004020000}"/>
    <cellStyle name="Moneda 3 3" xfId="402" xr:uid="{00000000-0005-0000-0000-000005020000}"/>
    <cellStyle name="Moneda 3 4" xfId="403" xr:uid="{00000000-0005-0000-0000-000006020000}"/>
    <cellStyle name="Moneda 3 5" xfId="404" xr:uid="{00000000-0005-0000-0000-000007020000}"/>
    <cellStyle name="Moneda 3 6" xfId="405" xr:uid="{00000000-0005-0000-0000-000008020000}"/>
    <cellStyle name="Moneda 3 7" xfId="1649" xr:uid="{00000000-0005-0000-0000-000009020000}"/>
    <cellStyle name="Moneda 4" xfId="406" xr:uid="{00000000-0005-0000-0000-00000A020000}"/>
    <cellStyle name="Moneda 4 2" xfId="407" xr:uid="{00000000-0005-0000-0000-00000B020000}"/>
    <cellStyle name="Moneda 4 3" xfId="408" xr:uid="{00000000-0005-0000-0000-00000C020000}"/>
    <cellStyle name="Moneda 4 4" xfId="409" xr:uid="{00000000-0005-0000-0000-00000D020000}"/>
    <cellStyle name="Moneda 5" xfId="410" xr:uid="{00000000-0005-0000-0000-00000E020000}"/>
    <cellStyle name="Moneda 5 2" xfId="411" xr:uid="{00000000-0005-0000-0000-00000F020000}"/>
    <cellStyle name="Moneda 6" xfId="412" xr:uid="{00000000-0005-0000-0000-000010020000}"/>
    <cellStyle name="Moneda 6 2" xfId="413" xr:uid="{00000000-0005-0000-0000-000011020000}"/>
    <cellStyle name="Moneda 6 2 2" xfId="414" xr:uid="{00000000-0005-0000-0000-000012020000}"/>
    <cellStyle name="Moneda 6 2 4" xfId="415" xr:uid="{00000000-0005-0000-0000-000013020000}"/>
    <cellStyle name="Moneda 6 2 4 2" xfId="416" xr:uid="{00000000-0005-0000-0000-000014020000}"/>
    <cellStyle name="Moneda 6 3" xfId="417" xr:uid="{00000000-0005-0000-0000-000015020000}"/>
    <cellStyle name="Moneda 6 3 2" xfId="418" xr:uid="{00000000-0005-0000-0000-000016020000}"/>
    <cellStyle name="Moneda 6 4" xfId="419" xr:uid="{00000000-0005-0000-0000-000017020000}"/>
    <cellStyle name="Moneda 6 4 2" xfId="420" xr:uid="{00000000-0005-0000-0000-000018020000}"/>
    <cellStyle name="Moneda 6 4 2 2" xfId="421" xr:uid="{00000000-0005-0000-0000-000019020000}"/>
    <cellStyle name="Moneda 6 5" xfId="422" xr:uid="{00000000-0005-0000-0000-00001A020000}"/>
    <cellStyle name="Moneda 6 5 2" xfId="423" xr:uid="{00000000-0005-0000-0000-00001B020000}"/>
    <cellStyle name="Moneda 6 5 2 2" xfId="424" xr:uid="{00000000-0005-0000-0000-00001C020000}"/>
    <cellStyle name="Moneda 6 6" xfId="425" xr:uid="{00000000-0005-0000-0000-00001D020000}"/>
    <cellStyle name="Moneda 6 7" xfId="426" xr:uid="{00000000-0005-0000-0000-00001E020000}"/>
    <cellStyle name="Moneda 6 8" xfId="427" xr:uid="{00000000-0005-0000-0000-00001F020000}"/>
    <cellStyle name="Moneda 6 9" xfId="428" xr:uid="{00000000-0005-0000-0000-000020020000}"/>
    <cellStyle name="Moneda 7" xfId="429" xr:uid="{00000000-0005-0000-0000-000021020000}"/>
    <cellStyle name="Moneda 7 2" xfId="430" xr:uid="{00000000-0005-0000-0000-000022020000}"/>
    <cellStyle name="Moneda 7 3" xfId="431" xr:uid="{00000000-0005-0000-0000-000023020000}"/>
    <cellStyle name="Moneda 7 3 2" xfId="432" xr:uid="{00000000-0005-0000-0000-000024020000}"/>
    <cellStyle name="Moneda 7 4" xfId="433" xr:uid="{00000000-0005-0000-0000-000025020000}"/>
    <cellStyle name="Moneda 7 5" xfId="434" xr:uid="{00000000-0005-0000-0000-000026020000}"/>
    <cellStyle name="Moneda 7 6" xfId="435" xr:uid="{00000000-0005-0000-0000-000027020000}"/>
    <cellStyle name="Moneda 8" xfId="1645" xr:uid="{00000000-0005-0000-0000-000028020000}"/>
    <cellStyle name="Moneda 9 2" xfId="436" xr:uid="{00000000-0005-0000-0000-000029020000}"/>
    <cellStyle name="Neutral 2" xfId="437" xr:uid="{00000000-0005-0000-0000-00002A020000}"/>
    <cellStyle name="Normal" xfId="0" builtinId="0"/>
    <cellStyle name="Normal 10" xfId="438" xr:uid="{00000000-0005-0000-0000-00002C020000}"/>
    <cellStyle name="Normal 11" xfId="439" xr:uid="{00000000-0005-0000-0000-00002D020000}"/>
    <cellStyle name="Normal 12" xfId="440" xr:uid="{00000000-0005-0000-0000-00002E020000}"/>
    <cellStyle name="Normal 12 2" xfId="441" xr:uid="{00000000-0005-0000-0000-00002F020000}"/>
    <cellStyle name="Normal 12 2 10" xfId="442" xr:uid="{00000000-0005-0000-0000-000030020000}"/>
    <cellStyle name="Normal 12 2 2" xfId="443" xr:uid="{00000000-0005-0000-0000-000031020000}"/>
    <cellStyle name="Normal 12 2 2 2" xfId="444" xr:uid="{00000000-0005-0000-0000-000032020000}"/>
    <cellStyle name="Normal 13" xfId="445" xr:uid="{00000000-0005-0000-0000-000033020000}"/>
    <cellStyle name="Normal 14" xfId="446" xr:uid="{00000000-0005-0000-0000-000034020000}"/>
    <cellStyle name="Normal 15" xfId="1656" xr:uid="{00000000-0005-0000-0000-000035020000}"/>
    <cellStyle name="Normal 16" xfId="447" xr:uid="{00000000-0005-0000-0000-000036020000}"/>
    <cellStyle name="Normal 17" xfId="448" xr:uid="{00000000-0005-0000-0000-000037020000}"/>
    <cellStyle name="Normal 18" xfId="449" xr:uid="{00000000-0005-0000-0000-000038020000}"/>
    <cellStyle name="Normal 2" xfId="450" xr:uid="{00000000-0005-0000-0000-000039020000}"/>
    <cellStyle name="Normal 2 10" xfId="451" xr:uid="{00000000-0005-0000-0000-00003A020000}"/>
    <cellStyle name="Normal 2 10 2" xfId="452" xr:uid="{00000000-0005-0000-0000-00003B020000}"/>
    <cellStyle name="Normal 2 11" xfId="453" xr:uid="{00000000-0005-0000-0000-00003C020000}"/>
    <cellStyle name="Normal 2 12" xfId="454" xr:uid="{00000000-0005-0000-0000-00003D020000}"/>
    <cellStyle name="Normal 2 13" xfId="455" xr:uid="{00000000-0005-0000-0000-00003E020000}"/>
    <cellStyle name="Normal 2 14" xfId="456" xr:uid="{00000000-0005-0000-0000-00003F020000}"/>
    <cellStyle name="Normal 2 15" xfId="457" xr:uid="{00000000-0005-0000-0000-000040020000}"/>
    <cellStyle name="Normal 2 16" xfId="458" xr:uid="{00000000-0005-0000-0000-000041020000}"/>
    <cellStyle name="Normal 2 17" xfId="459" xr:uid="{00000000-0005-0000-0000-000042020000}"/>
    <cellStyle name="Normal 2 18" xfId="460" xr:uid="{00000000-0005-0000-0000-000043020000}"/>
    <cellStyle name="Normal 2 19" xfId="461" xr:uid="{00000000-0005-0000-0000-000044020000}"/>
    <cellStyle name="Normal 2 2" xfId="462" xr:uid="{00000000-0005-0000-0000-000045020000}"/>
    <cellStyle name="Normal 2 2 2" xfId="463" xr:uid="{00000000-0005-0000-0000-000046020000}"/>
    <cellStyle name="Normal 2 2 2 2" xfId="1650" xr:uid="{00000000-0005-0000-0000-000047020000}"/>
    <cellStyle name="Normal 2 2 3" xfId="464" xr:uid="{00000000-0005-0000-0000-000048020000}"/>
    <cellStyle name="Normal 2 2 4" xfId="1647" xr:uid="{00000000-0005-0000-0000-000049020000}"/>
    <cellStyle name="Normal 2 20" xfId="465" xr:uid="{00000000-0005-0000-0000-00004A020000}"/>
    <cellStyle name="Normal 2 21" xfId="466" xr:uid="{00000000-0005-0000-0000-00004B020000}"/>
    <cellStyle name="Normal 2 22" xfId="467" xr:uid="{00000000-0005-0000-0000-00004C020000}"/>
    <cellStyle name="Normal 2 23" xfId="468" xr:uid="{00000000-0005-0000-0000-00004D020000}"/>
    <cellStyle name="Normal 2 24" xfId="469" xr:uid="{00000000-0005-0000-0000-00004E020000}"/>
    <cellStyle name="Normal 2 25" xfId="470" xr:uid="{00000000-0005-0000-0000-00004F020000}"/>
    <cellStyle name="Normal 2 26" xfId="471" xr:uid="{00000000-0005-0000-0000-000050020000}"/>
    <cellStyle name="Normal 2 27" xfId="472" xr:uid="{00000000-0005-0000-0000-000051020000}"/>
    <cellStyle name="Normal 2 28" xfId="473" xr:uid="{00000000-0005-0000-0000-000052020000}"/>
    <cellStyle name="Normal 2 29" xfId="474" xr:uid="{00000000-0005-0000-0000-000053020000}"/>
    <cellStyle name="Normal 2 3" xfId="475" xr:uid="{00000000-0005-0000-0000-000054020000}"/>
    <cellStyle name="Normal 2 3 2" xfId="1653" xr:uid="{00000000-0005-0000-0000-000055020000}"/>
    <cellStyle name="Normal 2 30" xfId="476" xr:uid="{00000000-0005-0000-0000-000056020000}"/>
    <cellStyle name="Normal 2 31" xfId="477" xr:uid="{00000000-0005-0000-0000-000057020000}"/>
    <cellStyle name="Normal 2 32" xfId="478" xr:uid="{00000000-0005-0000-0000-000058020000}"/>
    <cellStyle name="Normal 2 33" xfId="479" xr:uid="{00000000-0005-0000-0000-000059020000}"/>
    <cellStyle name="Normal 2 34" xfId="480" xr:uid="{00000000-0005-0000-0000-00005A020000}"/>
    <cellStyle name="Normal 2 4" xfId="481" xr:uid="{00000000-0005-0000-0000-00005B020000}"/>
    <cellStyle name="Normal 2 4 2" xfId="482" xr:uid="{00000000-0005-0000-0000-00005C020000}"/>
    <cellStyle name="Normal 2 4 3" xfId="483" xr:uid="{00000000-0005-0000-0000-00005D020000}"/>
    <cellStyle name="Normal 2 5" xfId="484" xr:uid="{00000000-0005-0000-0000-00005E020000}"/>
    <cellStyle name="Normal 2 6" xfId="485" xr:uid="{00000000-0005-0000-0000-00005F020000}"/>
    <cellStyle name="Normal 2 7" xfId="486" xr:uid="{00000000-0005-0000-0000-000060020000}"/>
    <cellStyle name="Normal 2 8" xfId="487" xr:uid="{00000000-0005-0000-0000-000061020000}"/>
    <cellStyle name="Normal 2 9" xfId="488" xr:uid="{00000000-0005-0000-0000-000062020000}"/>
    <cellStyle name="Normal 20" xfId="489" xr:uid="{00000000-0005-0000-0000-000063020000}"/>
    <cellStyle name="Normal 21" xfId="490" xr:uid="{00000000-0005-0000-0000-000064020000}"/>
    <cellStyle name="Normal 23" xfId="491" xr:uid="{00000000-0005-0000-0000-000065020000}"/>
    <cellStyle name="Normal 24" xfId="492" xr:uid="{00000000-0005-0000-0000-000066020000}"/>
    <cellStyle name="Normal 25" xfId="493" xr:uid="{00000000-0005-0000-0000-000067020000}"/>
    <cellStyle name="Normal 27" xfId="494" xr:uid="{00000000-0005-0000-0000-000068020000}"/>
    <cellStyle name="Normal 29" xfId="495" xr:uid="{00000000-0005-0000-0000-000069020000}"/>
    <cellStyle name="Normal 3" xfId="496" xr:uid="{00000000-0005-0000-0000-00006A020000}"/>
    <cellStyle name="Normal 3 10" xfId="497" xr:uid="{00000000-0005-0000-0000-00006B020000}"/>
    <cellStyle name="Normal 3 11" xfId="498" xr:uid="{00000000-0005-0000-0000-00006C020000}"/>
    <cellStyle name="Normal 3 12" xfId="499" xr:uid="{00000000-0005-0000-0000-00006D020000}"/>
    <cellStyle name="Normal 3 13" xfId="500" xr:uid="{00000000-0005-0000-0000-00006E020000}"/>
    <cellStyle name="Normal 3 14" xfId="501" xr:uid="{00000000-0005-0000-0000-00006F020000}"/>
    <cellStyle name="Normal 3 15" xfId="502" xr:uid="{00000000-0005-0000-0000-000070020000}"/>
    <cellStyle name="Normal 3 16" xfId="503" xr:uid="{00000000-0005-0000-0000-000071020000}"/>
    <cellStyle name="Normal 3 17" xfId="504" xr:uid="{00000000-0005-0000-0000-000072020000}"/>
    <cellStyle name="Normal 3 18" xfId="505" xr:uid="{00000000-0005-0000-0000-000073020000}"/>
    <cellStyle name="Normal 3 19" xfId="506" xr:uid="{00000000-0005-0000-0000-000074020000}"/>
    <cellStyle name="Normal 3 2" xfId="507" xr:uid="{00000000-0005-0000-0000-000075020000}"/>
    <cellStyle name="Normal 3 2 2" xfId="508" xr:uid="{00000000-0005-0000-0000-000076020000}"/>
    <cellStyle name="Normal 3 20" xfId="509" xr:uid="{00000000-0005-0000-0000-000077020000}"/>
    <cellStyle name="Normal 3 21" xfId="510" xr:uid="{00000000-0005-0000-0000-000078020000}"/>
    <cellStyle name="Normal 3 22" xfId="511" xr:uid="{00000000-0005-0000-0000-000079020000}"/>
    <cellStyle name="Normal 3 23" xfId="512" xr:uid="{00000000-0005-0000-0000-00007A020000}"/>
    <cellStyle name="Normal 3 24" xfId="513" xr:uid="{00000000-0005-0000-0000-00007B020000}"/>
    <cellStyle name="Normal 3 25" xfId="514" xr:uid="{00000000-0005-0000-0000-00007C020000}"/>
    <cellStyle name="Normal 3 26" xfId="515" xr:uid="{00000000-0005-0000-0000-00007D020000}"/>
    <cellStyle name="Normal 3 27" xfId="516" xr:uid="{00000000-0005-0000-0000-00007E020000}"/>
    <cellStyle name="Normal 3 28" xfId="517" xr:uid="{00000000-0005-0000-0000-00007F020000}"/>
    <cellStyle name="Normal 3 29" xfId="518" xr:uid="{00000000-0005-0000-0000-000080020000}"/>
    <cellStyle name="Normal 3 3" xfId="519" xr:uid="{00000000-0005-0000-0000-000081020000}"/>
    <cellStyle name="Normal 3 30" xfId="520" xr:uid="{00000000-0005-0000-0000-000082020000}"/>
    <cellStyle name="Normal 3 31" xfId="521" xr:uid="{00000000-0005-0000-0000-000083020000}"/>
    <cellStyle name="Normal 3 32" xfId="1646" xr:uid="{00000000-0005-0000-0000-000084020000}"/>
    <cellStyle name="Normal 3 4" xfId="522" xr:uid="{00000000-0005-0000-0000-000085020000}"/>
    <cellStyle name="Normal 3 5" xfId="523" xr:uid="{00000000-0005-0000-0000-000086020000}"/>
    <cellStyle name="Normal 3 6" xfId="524" xr:uid="{00000000-0005-0000-0000-000087020000}"/>
    <cellStyle name="Normal 3 7" xfId="525" xr:uid="{00000000-0005-0000-0000-000088020000}"/>
    <cellStyle name="Normal 3 8" xfId="526" xr:uid="{00000000-0005-0000-0000-000089020000}"/>
    <cellStyle name="Normal 3 9" xfId="527" xr:uid="{00000000-0005-0000-0000-00008A020000}"/>
    <cellStyle name="Normal 30" xfId="528" xr:uid="{00000000-0005-0000-0000-00008B020000}"/>
    <cellStyle name="Normal 31" xfId="529" xr:uid="{00000000-0005-0000-0000-00008C020000}"/>
    <cellStyle name="Normal 33" xfId="530" xr:uid="{00000000-0005-0000-0000-00008D020000}"/>
    <cellStyle name="Normal 34" xfId="531" xr:uid="{00000000-0005-0000-0000-00008E020000}"/>
    <cellStyle name="Normal 36" xfId="532" xr:uid="{00000000-0005-0000-0000-00008F020000}"/>
    <cellStyle name="Normal 36 10" xfId="533" xr:uid="{00000000-0005-0000-0000-000090020000}"/>
    <cellStyle name="Normal 36 11" xfId="534" xr:uid="{00000000-0005-0000-0000-000091020000}"/>
    <cellStyle name="Normal 36 12" xfId="535" xr:uid="{00000000-0005-0000-0000-000092020000}"/>
    <cellStyle name="Normal 36 13" xfId="536" xr:uid="{00000000-0005-0000-0000-000093020000}"/>
    <cellStyle name="Normal 36 14" xfId="537" xr:uid="{00000000-0005-0000-0000-000094020000}"/>
    <cellStyle name="Normal 36 15" xfId="538" xr:uid="{00000000-0005-0000-0000-000095020000}"/>
    <cellStyle name="Normal 36 16" xfId="539" xr:uid="{00000000-0005-0000-0000-000096020000}"/>
    <cellStyle name="Normal 36 17" xfId="540" xr:uid="{00000000-0005-0000-0000-000097020000}"/>
    <cellStyle name="Normal 36 18" xfId="541" xr:uid="{00000000-0005-0000-0000-000098020000}"/>
    <cellStyle name="Normal 36 19" xfId="542" xr:uid="{00000000-0005-0000-0000-000099020000}"/>
    <cellStyle name="Normal 36 2" xfId="543" xr:uid="{00000000-0005-0000-0000-00009A020000}"/>
    <cellStyle name="Normal 36 20" xfId="544" xr:uid="{00000000-0005-0000-0000-00009B020000}"/>
    <cellStyle name="Normal 36 3" xfId="545" xr:uid="{00000000-0005-0000-0000-00009C020000}"/>
    <cellStyle name="Normal 36 4" xfId="546" xr:uid="{00000000-0005-0000-0000-00009D020000}"/>
    <cellStyle name="Normal 36 5" xfId="547" xr:uid="{00000000-0005-0000-0000-00009E020000}"/>
    <cellStyle name="Normal 36 6" xfId="548" xr:uid="{00000000-0005-0000-0000-00009F020000}"/>
    <cellStyle name="Normal 36 7" xfId="549" xr:uid="{00000000-0005-0000-0000-0000A0020000}"/>
    <cellStyle name="Normal 36 8" xfId="550" xr:uid="{00000000-0005-0000-0000-0000A1020000}"/>
    <cellStyle name="Normal 36 9" xfId="551" xr:uid="{00000000-0005-0000-0000-0000A2020000}"/>
    <cellStyle name="Normal 39" xfId="552" xr:uid="{00000000-0005-0000-0000-0000A3020000}"/>
    <cellStyle name="Normal 39 10" xfId="553" xr:uid="{00000000-0005-0000-0000-0000A4020000}"/>
    <cellStyle name="Normal 39 11" xfId="554" xr:uid="{00000000-0005-0000-0000-0000A5020000}"/>
    <cellStyle name="Normal 39 12" xfId="555" xr:uid="{00000000-0005-0000-0000-0000A6020000}"/>
    <cellStyle name="Normal 39 13" xfId="556" xr:uid="{00000000-0005-0000-0000-0000A7020000}"/>
    <cellStyle name="Normal 39 14" xfId="557" xr:uid="{00000000-0005-0000-0000-0000A8020000}"/>
    <cellStyle name="Normal 39 15" xfId="558" xr:uid="{00000000-0005-0000-0000-0000A9020000}"/>
    <cellStyle name="Normal 39 16" xfId="559" xr:uid="{00000000-0005-0000-0000-0000AA020000}"/>
    <cellStyle name="Normal 39 17" xfId="560" xr:uid="{00000000-0005-0000-0000-0000AB020000}"/>
    <cellStyle name="Normal 39 18" xfId="561" xr:uid="{00000000-0005-0000-0000-0000AC020000}"/>
    <cellStyle name="Normal 39 19" xfId="562" xr:uid="{00000000-0005-0000-0000-0000AD020000}"/>
    <cellStyle name="Normal 39 2" xfId="563" xr:uid="{00000000-0005-0000-0000-0000AE020000}"/>
    <cellStyle name="Normal 39 20" xfId="564" xr:uid="{00000000-0005-0000-0000-0000AF020000}"/>
    <cellStyle name="Normal 39 3" xfId="565" xr:uid="{00000000-0005-0000-0000-0000B0020000}"/>
    <cellStyle name="Normal 39 4" xfId="566" xr:uid="{00000000-0005-0000-0000-0000B1020000}"/>
    <cellStyle name="Normal 39 5" xfId="567" xr:uid="{00000000-0005-0000-0000-0000B2020000}"/>
    <cellStyle name="Normal 39 6" xfId="568" xr:uid="{00000000-0005-0000-0000-0000B3020000}"/>
    <cellStyle name="Normal 39 7" xfId="569" xr:uid="{00000000-0005-0000-0000-0000B4020000}"/>
    <cellStyle name="Normal 39 8" xfId="570" xr:uid="{00000000-0005-0000-0000-0000B5020000}"/>
    <cellStyle name="Normal 39 9" xfId="571" xr:uid="{00000000-0005-0000-0000-0000B6020000}"/>
    <cellStyle name="Normal 4" xfId="1" xr:uid="{00000000-0005-0000-0000-0000B7020000}"/>
    <cellStyle name="Normal 4 2" xfId="572" xr:uid="{00000000-0005-0000-0000-0000B8020000}"/>
    <cellStyle name="Normal 4 3" xfId="573" xr:uid="{00000000-0005-0000-0000-0000B9020000}"/>
    <cellStyle name="Normal 4 4" xfId="1651" xr:uid="{00000000-0005-0000-0000-0000BA020000}"/>
    <cellStyle name="Normal 41" xfId="574" xr:uid="{00000000-0005-0000-0000-0000BB020000}"/>
    <cellStyle name="Normal 5" xfId="575" xr:uid="{00000000-0005-0000-0000-0000BC020000}"/>
    <cellStyle name="Normal 5 2" xfId="576" xr:uid="{00000000-0005-0000-0000-0000BD020000}"/>
    <cellStyle name="Normal 5 3" xfId="577" xr:uid="{00000000-0005-0000-0000-0000BE020000}"/>
    <cellStyle name="Normal 5 4" xfId="578" xr:uid="{00000000-0005-0000-0000-0000BF020000}"/>
    <cellStyle name="Normal 5 5" xfId="579" xr:uid="{00000000-0005-0000-0000-0000C0020000}"/>
    <cellStyle name="Normal 5 6" xfId="580" xr:uid="{00000000-0005-0000-0000-0000C1020000}"/>
    <cellStyle name="Normal 6" xfId="581" xr:uid="{00000000-0005-0000-0000-0000C2020000}"/>
    <cellStyle name="Normal 6 10" xfId="582" xr:uid="{00000000-0005-0000-0000-0000C3020000}"/>
    <cellStyle name="Normal 6 11" xfId="583" xr:uid="{00000000-0005-0000-0000-0000C4020000}"/>
    <cellStyle name="Normal 6 12" xfId="584" xr:uid="{00000000-0005-0000-0000-0000C5020000}"/>
    <cellStyle name="Normal 6 13" xfId="585" xr:uid="{00000000-0005-0000-0000-0000C6020000}"/>
    <cellStyle name="Normal 6 14" xfId="586" xr:uid="{00000000-0005-0000-0000-0000C7020000}"/>
    <cellStyle name="Normal 6 15" xfId="587" xr:uid="{00000000-0005-0000-0000-0000C8020000}"/>
    <cellStyle name="Normal 6 16" xfId="588" xr:uid="{00000000-0005-0000-0000-0000C9020000}"/>
    <cellStyle name="Normal 6 17" xfId="589" xr:uid="{00000000-0005-0000-0000-0000CA020000}"/>
    <cellStyle name="Normal 6 18" xfId="590" xr:uid="{00000000-0005-0000-0000-0000CB020000}"/>
    <cellStyle name="Normal 6 19" xfId="591" xr:uid="{00000000-0005-0000-0000-0000CC020000}"/>
    <cellStyle name="Normal 6 2" xfId="592" xr:uid="{00000000-0005-0000-0000-0000CD020000}"/>
    <cellStyle name="Normal 6 2 10" xfId="593" xr:uid="{00000000-0005-0000-0000-0000CE020000}"/>
    <cellStyle name="Normal 6 2 11" xfId="594" xr:uid="{00000000-0005-0000-0000-0000CF020000}"/>
    <cellStyle name="Normal 6 2 12" xfId="595" xr:uid="{00000000-0005-0000-0000-0000D0020000}"/>
    <cellStyle name="Normal 6 2 13" xfId="596" xr:uid="{00000000-0005-0000-0000-0000D1020000}"/>
    <cellStyle name="Normal 6 2 14" xfId="597" xr:uid="{00000000-0005-0000-0000-0000D2020000}"/>
    <cellStyle name="Normal 6 2 15" xfId="598" xr:uid="{00000000-0005-0000-0000-0000D3020000}"/>
    <cellStyle name="Normal 6 2 16" xfId="599" xr:uid="{00000000-0005-0000-0000-0000D4020000}"/>
    <cellStyle name="Normal 6 2 17" xfId="600" xr:uid="{00000000-0005-0000-0000-0000D5020000}"/>
    <cellStyle name="Normal 6 2 18" xfId="601" xr:uid="{00000000-0005-0000-0000-0000D6020000}"/>
    <cellStyle name="Normal 6 2 19" xfId="602" xr:uid="{00000000-0005-0000-0000-0000D7020000}"/>
    <cellStyle name="Normal 6 2 2" xfId="603" xr:uid="{00000000-0005-0000-0000-0000D8020000}"/>
    <cellStyle name="Normal 6 2 2 10" xfId="604" xr:uid="{00000000-0005-0000-0000-0000D9020000}"/>
    <cellStyle name="Normal 6 2 2 11" xfId="605" xr:uid="{00000000-0005-0000-0000-0000DA020000}"/>
    <cellStyle name="Normal 6 2 2 12" xfId="606" xr:uid="{00000000-0005-0000-0000-0000DB020000}"/>
    <cellStyle name="Normal 6 2 2 13" xfId="607" xr:uid="{00000000-0005-0000-0000-0000DC020000}"/>
    <cellStyle name="Normal 6 2 2 14" xfId="608" xr:uid="{00000000-0005-0000-0000-0000DD020000}"/>
    <cellStyle name="Normal 6 2 2 15" xfId="609" xr:uid="{00000000-0005-0000-0000-0000DE020000}"/>
    <cellStyle name="Normal 6 2 2 16" xfId="610" xr:uid="{00000000-0005-0000-0000-0000DF020000}"/>
    <cellStyle name="Normal 6 2 2 17" xfId="611" xr:uid="{00000000-0005-0000-0000-0000E0020000}"/>
    <cellStyle name="Normal 6 2 2 18" xfId="612" xr:uid="{00000000-0005-0000-0000-0000E1020000}"/>
    <cellStyle name="Normal 6 2 2 19" xfId="613" xr:uid="{00000000-0005-0000-0000-0000E2020000}"/>
    <cellStyle name="Normal 6 2 2 2" xfId="614" xr:uid="{00000000-0005-0000-0000-0000E3020000}"/>
    <cellStyle name="Normal 6 2 2 2 2" xfId="615" xr:uid="{00000000-0005-0000-0000-0000E4020000}"/>
    <cellStyle name="Normal 6 2 2 2 2 10" xfId="616" xr:uid="{00000000-0005-0000-0000-0000E5020000}"/>
    <cellStyle name="Normal 6 2 2 2 2 11" xfId="617" xr:uid="{00000000-0005-0000-0000-0000E6020000}"/>
    <cellStyle name="Normal 6 2 2 2 2 12" xfId="618" xr:uid="{00000000-0005-0000-0000-0000E7020000}"/>
    <cellStyle name="Normal 6 2 2 2 2 13" xfId="619" xr:uid="{00000000-0005-0000-0000-0000E8020000}"/>
    <cellStyle name="Normal 6 2 2 2 2 14" xfId="620" xr:uid="{00000000-0005-0000-0000-0000E9020000}"/>
    <cellStyle name="Normal 6 2 2 2 2 15" xfId="621" xr:uid="{00000000-0005-0000-0000-0000EA020000}"/>
    <cellStyle name="Normal 6 2 2 2 2 16" xfId="622" xr:uid="{00000000-0005-0000-0000-0000EB020000}"/>
    <cellStyle name="Normal 6 2 2 2 2 17" xfId="623" xr:uid="{00000000-0005-0000-0000-0000EC020000}"/>
    <cellStyle name="Normal 6 2 2 2 2 18" xfId="624" xr:uid="{00000000-0005-0000-0000-0000ED020000}"/>
    <cellStyle name="Normal 6 2 2 2 2 19" xfId="625" xr:uid="{00000000-0005-0000-0000-0000EE020000}"/>
    <cellStyle name="Normal 6 2 2 2 2 2" xfId="626" xr:uid="{00000000-0005-0000-0000-0000EF020000}"/>
    <cellStyle name="Normal 6 2 2 2 2 2 2" xfId="627" xr:uid="{00000000-0005-0000-0000-0000F0020000}"/>
    <cellStyle name="Normal 6 2 2 2 2 2 2 10" xfId="628" xr:uid="{00000000-0005-0000-0000-0000F1020000}"/>
    <cellStyle name="Normal 6 2 2 2 2 2 2 11" xfId="629" xr:uid="{00000000-0005-0000-0000-0000F2020000}"/>
    <cellStyle name="Normal 6 2 2 2 2 2 2 12" xfId="630" xr:uid="{00000000-0005-0000-0000-0000F3020000}"/>
    <cellStyle name="Normal 6 2 2 2 2 2 2 13" xfId="631" xr:uid="{00000000-0005-0000-0000-0000F4020000}"/>
    <cellStyle name="Normal 6 2 2 2 2 2 2 14" xfId="632" xr:uid="{00000000-0005-0000-0000-0000F5020000}"/>
    <cellStyle name="Normal 6 2 2 2 2 2 2 15" xfId="633" xr:uid="{00000000-0005-0000-0000-0000F6020000}"/>
    <cellStyle name="Normal 6 2 2 2 2 2 2 16" xfId="634" xr:uid="{00000000-0005-0000-0000-0000F7020000}"/>
    <cellStyle name="Normal 6 2 2 2 2 2 2 17" xfId="635" xr:uid="{00000000-0005-0000-0000-0000F8020000}"/>
    <cellStyle name="Normal 6 2 2 2 2 2 2 18" xfId="636" xr:uid="{00000000-0005-0000-0000-0000F9020000}"/>
    <cellStyle name="Normal 6 2 2 2 2 2 2 2" xfId="637" xr:uid="{00000000-0005-0000-0000-0000FA020000}"/>
    <cellStyle name="Normal 6 2 2 2 2 2 2 3" xfId="638" xr:uid="{00000000-0005-0000-0000-0000FB020000}"/>
    <cellStyle name="Normal 6 2 2 2 2 2 2 4" xfId="639" xr:uid="{00000000-0005-0000-0000-0000FC020000}"/>
    <cellStyle name="Normal 6 2 2 2 2 2 2 5" xfId="640" xr:uid="{00000000-0005-0000-0000-0000FD020000}"/>
    <cellStyle name="Normal 6 2 2 2 2 2 2 6" xfId="641" xr:uid="{00000000-0005-0000-0000-0000FE020000}"/>
    <cellStyle name="Normal 6 2 2 2 2 2 2 7" xfId="642" xr:uid="{00000000-0005-0000-0000-0000FF020000}"/>
    <cellStyle name="Normal 6 2 2 2 2 2 2 8" xfId="643" xr:uid="{00000000-0005-0000-0000-000000030000}"/>
    <cellStyle name="Normal 6 2 2 2 2 2 2 9" xfId="644" xr:uid="{00000000-0005-0000-0000-000001030000}"/>
    <cellStyle name="Normal 6 2 2 2 2 2 3" xfId="645" xr:uid="{00000000-0005-0000-0000-000002030000}"/>
    <cellStyle name="Normal 6 2 2 2 2 3" xfId="646" xr:uid="{00000000-0005-0000-0000-000003030000}"/>
    <cellStyle name="Normal 6 2 2 2 2 4" xfId="647" xr:uid="{00000000-0005-0000-0000-000004030000}"/>
    <cellStyle name="Normal 6 2 2 2 2 5" xfId="648" xr:uid="{00000000-0005-0000-0000-000005030000}"/>
    <cellStyle name="Normal 6 2 2 2 2 6" xfId="649" xr:uid="{00000000-0005-0000-0000-000006030000}"/>
    <cellStyle name="Normal 6 2 2 2 2 7" xfId="650" xr:uid="{00000000-0005-0000-0000-000007030000}"/>
    <cellStyle name="Normal 6 2 2 2 2 8" xfId="651" xr:uid="{00000000-0005-0000-0000-000008030000}"/>
    <cellStyle name="Normal 6 2 2 2 2 9" xfId="652" xr:uid="{00000000-0005-0000-0000-000009030000}"/>
    <cellStyle name="Normal 6 2 2 2 3" xfId="653" xr:uid="{00000000-0005-0000-0000-00000A030000}"/>
    <cellStyle name="Normal 6 2 2 2 4" xfId="654" xr:uid="{00000000-0005-0000-0000-00000B030000}"/>
    <cellStyle name="Normal 6 2 2 20" xfId="655" xr:uid="{00000000-0005-0000-0000-00000C030000}"/>
    <cellStyle name="Normal 6 2 2 3" xfId="656" xr:uid="{00000000-0005-0000-0000-00000D030000}"/>
    <cellStyle name="Normal 6 2 2 3 10" xfId="657" xr:uid="{00000000-0005-0000-0000-00000E030000}"/>
    <cellStyle name="Normal 6 2 2 3 11" xfId="658" xr:uid="{00000000-0005-0000-0000-00000F030000}"/>
    <cellStyle name="Normal 6 2 2 3 12" xfId="659" xr:uid="{00000000-0005-0000-0000-000010030000}"/>
    <cellStyle name="Normal 6 2 2 3 13" xfId="660" xr:uid="{00000000-0005-0000-0000-000011030000}"/>
    <cellStyle name="Normal 6 2 2 3 14" xfId="661" xr:uid="{00000000-0005-0000-0000-000012030000}"/>
    <cellStyle name="Normal 6 2 2 3 15" xfId="662" xr:uid="{00000000-0005-0000-0000-000013030000}"/>
    <cellStyle name="Normal 6 2 2 3 16" xfId="663" xr:uid="{00000000-0005-0000-0000-000014030000}"/>
    <cellStyle name="Normal 6 2 2 3 17" xfId="664" xr:uid="{00000000-0005-0000-0000-000015030000}"/>
    <cellStyle name="Normal 6 2 2 3 18" xfId="665" xr:uid="{00000000-0005-0000-0000-000016030000}"/>
    <cellStyle name="Normal 6 2 2 3 2" xfId="666" xr:uid="{00000000-0005-0000-0000-000017030000}"/>
    <cellStyle name="Normal 6 2 2 3 3" xfId="667" xr:uid="{00000000-0005-0000-0000-000018030000}"/>
    <cellStyle name="Normal 6 2 2 3 4" xfId="668" xr:uid="{00000000-0005-0000-0000-000019030000}"/>
    <cellStyle name="Normal 6 2 2 3 5" xfId="669" xr:uid="{00000000-0005-0000-0000-00001A030000}"/>
    <cellStyle name="Normal 6 2 2 3 6" xfId="670" xr:uid="{00000000-0005-0000-0000-00001B030000}"/>
    <cellStyle name="Normal 6 2 2 3 7" xfId="671" xr:uid="{00000000-0005-0000-0000-00001C030000}"/>
    <cellStyle name="Normal 6 2 2 3 8" xfId="672" xr:uid="{00000000-0005-0000-0000-00001D030000}"/>
    <cellStyle name="Normal 6 2 2 3 9" xfId="673" xr:uid="{00000000-0005-0000-0000-00001E030000}"/>
    <cellStyle name="Normal 6 2 2 4" xfId="674" xr:uid="{00000000-0005-0000-0000-00001F030000}"/>
    <cellStyle name="Normal 6 2 2 5" xfId="675" xr:uid="{00000000-0005-0000-0000-000020030000}"/>
    <cellStyle name="Normal 6 2 2 6" xfId="676" xr:uid="{00000000-0005-0000-0000-000021030000}"/>
    <cellStyle name="Normal 6 2 2 7" xfId="677" xr:uid="{00000000-0005-0000-0000-000022030000}"/>
    <cellStyle name="Normal 6 2 2 8" xfId="678" xr:uid="{00000000-0005-0000-0000-000023030000}"/>
    <cellStyle name="Normal 6 2 2 9" xfId="679" xr:uid="{00000000-0005-0000-0000-000024030000}"/>
    <cellStyle name="Normal 6 2 20" xfId="680" xr:uid="{00000000-0005-0000-0000-000025030000}"/>
    <cellStyle name="Normal 6 2 3" xfId="681" xr:uid="{00000000-0005-0000-0000-000026030000}"/>
    <cellStyle name="Normal 6 2 3 10" xfId="682" xr:uid="{00000000-0005-0000-0000-000027030000}"/>
    <cellStyle name="Normal 6 2 3 11" xfId="683" xr:uid="{00000000-0005-0000-0000-000028030000}"/>
    <cellStyle name="Normal 6 2 3 12" xfId="684" xr:uid="{00000000-0005-0000-0000-000029030000}"/>
    <cellStyle name="Normal 6 2 3 13" xfId="685" xr:uid="{00000000-0005-0000-0000-00002A030000}"/>
    <cellStyle name="Normal 6 2 3 14" xfId="686" xr:uid="{00000000-0005-0000-0000-00002B030000}"/>
    <cellStyle name="Normal 6 2 3 15" xfId="687" xr:uid="{00000000-0005-0000-0000-00002C030000}"/>
    <cellStyle name="Normal 6 2 3 16" xfId="688" xr:uid="{00000000-0005-0000-0000-00002D030000}"/>
    <cellStyle name="Normal 6 2 3 17" xfId="689" xr:uid="{00000000-0005-0000-0000-00002E030000}"/>
    <cellStyle name="Normal 6 2 3 18" xfId="690" xr:uid="{00000000-0005-0000-0000-00002F030000}"/>
    <cellStyle name="Normal 6 2 3 19" xfId="691" xr:uid="{00000000-0005-0000-0000-000030030000}"/>
    <cellStyle name="Normal 6 2 3 2" xfId="692" xr:uid="{00000000-0005-0000-0000-000031030000}"/>
    <cellStyle name="Normal 6 2 3 3" xfId="693" xr:uid="{00000000-0005-0000-0000-000032030000}"/>
    <cellStyle name="Normal 6 2 3 4" xfId="694" xr:uid="{00000000-0005-0000-0000-000033030000}"/>
    <cellStyle name="Normal 6 2 3 5" xfId="695" xr:uid="{00000000-0005-0000-0000-000034030000}"/>
    <cellStyle name="Normal 6 2 3 6" xfId="696" xr:uid="{00000000-0005-0000-0000-000035030000}"/>
    <cellStyle name="Normal 6 2 3 7" xfId="697" xr:uid="{00000000-0005-0000-0000-000036030000}"/>
    <cellStyle name="Normal 6 2 3 8" xfId="698" xr:uid="{00000000-0005-0000-0000-000037030000}"/>
    <cellStyle name="Normal 6 2 3 9" xfId="699" xr:uid="{00000000-0005-0000-0000-000038030000}"/>
    <cellStyle name="Normal 6 2 4" xfId="700" xr:uid="{00000000-0005-0000-0000-000039030000}"/>
    <cellStyle name="Normal 6 2 5" xfId="701" xr:uid="{00000000-0005-0000-0000-00003A030000}"/>
    <cellStyle name="Normal 6 2 6" xfId="702" xr:uid="{00000000-0005-0000-0000-00003B030000}"/>
    <cellStyle name="Normal 6 2 7" xfId="703" xr:uid="{00000000-0005-0000-0000-00003C030000}"/>
    <cellStyle name="Normal 6 2 8" xfId="704" xr:uid="{00000000-0005-0000-0000-00003D030000}"/>
    <cellStyle name="Normal 6 2 9" xfId="705" xr:uid="{00000000-0005-0000-0000-00003E030000}"/>
    <cellStyle name="Normal 6 20" xfId="706" xr:uid="{00000000-0005-0000-0000-00003F030000}"/>
    <cellStyle name="Normal 6 21" xfId="707" xr:uid="{00000000-0005-0000-0000-000040030000}"/>
    <cellStyle name="Normal 6 22" xfId="708" xr:uid="{00000000-0005-0000-0000-000041030000}"/>
    <cellStyle name="Normal 6 23" xfId="709" xr:uid="{00000000-0005-0000-0000-000042030000}"/>
    <cellStyle name="Normal 6 3" xfId="710" xr:uid="{00000000-0005-0000-0000-000043030000}"/>
    <cellStyle name="Normal 6 3 10" xfId="711" xr:uid="{00000000-0005-0000-0000-000044030000}"/>
    <cellStyle name="Normal 6 3 11" xfId="712" xr:uid="{00000000-0005-0000-0000-000045030000}"/>
    <cellStyle name="Normal 6 3 12" xfId="713" xr:uid="{00000000-0005-0000-0000-000046030000}"/>
    <cellStyle name="Normal 6 3 13" xfId="714" xr:uid="{00000000-0005-0000-0000-000047030000}"/>
    <cellStyle name="Normal 6 3 14" xfId="715" xr:uid="{00000000-0005-0000-0000-000048030000}"/>
    <cellStyle name="Normal 6 3 15" xfId="716" xr:uid="{00000000-0005-0000-0000-000049030000}"/>
    <cellStyle name="Normal 6 3 16" xfId="717" xr:uid="{00000000-0005-0000-0000-00004A030000}"/>
    <cellStyle name="Normal 6 3 17" xfId="718" xr:uid="{00000000-0005-0000-0000-00004B030000}"/>
    <cellStyle name="Normal 6 3 18" xfId="719" xr:uid="{00000000-0005-0000-0000-00004C030000}"/>
    <cellStyle name="Normal 6 3 19" xfId="720" xr:uid="{00000000-0005-0000-0000-00004D030000}"/>
    <cellStyle name="Normal 6 3 2" xfId="721" xr:uid="{00000000-0005-0000-0000-00004E030000}"/>
    <cellStyle name="Normal 6 3 2 10" xfId="722" xr:uid="{00000000-0005-0000-0000-00004F030000}"/>
    <cellStyle name="Normal 6 3 2 11" xfId="723" xr:uid="{00000000-0005-0000-0000-000050030000}"/>
    <cellStyle name="Normal 6 3 2 12" xfId="724" xr:uid="{00000000-0005-0000-0000-000051030000}"/>
    <cellStyle name="Normal 6 3 2 13" xfId="725" xr:uid="{00000000-0005-0000-0000-000052030000}"/>
    <cellStyle name="Normal 6 3 2 14" xfId="726" xr:uid="{00000000-0005-0000-0000-000053030000}"/>
    <cellStyle name="Normal 6 3 2 15" xfId="727" xr:uid="{00000000-0005-0000-0000-000054030000}"/>
    <cellStyle name="Normal 6 3 2 16" xfId="728" xr:uid="{00000000-0005-0000-0000-000055030000}"/>
    <cellStyle name="Normal 6 3 2 17" xfId="729" xr:uid="{00000000-0005-0000-0000-000056030000}"/>
    <cellStyle name="Normal 6 3 2 18" xfId="730" xr:uid="{00000000-0005-0000-0000-000057030000}"/>
    <cellStyle name="Normal 6 3 2 2" xfId="731" xr:uid="{00000000-0005-0000-0000-000058030000}"/>
    <cellStyle name="Normal 6 3 2 3" xfId="732" xr:uid="{00000000-0005-0000-0000-000059030000}"/>
    <cellStyle name="Normal 6 3 2 4" xfId="733" xr:uid="{00000000-0005-0000-0000-00005A030000}"/>
    <cellStyle name="Normal 6 3 2 5" xfId="734" xr:uid="{00000000-0005-0000-0000-00005B030000}"/>
    <cellStyle name="Normal 6 3 2 6" xfId="735" xr:uid="{00000000-0005-0000-0000-00005C030000}"/>
    <cellStyle name="Normal 6 3 2 7" xfId="736" xr:uid="{00000000-0005-0000-0000-00005D030000}"/>
    <cellStyle name="Normal 6 3 2 8" xfId="737" xr:uid="{00000000-0005-0000-0000-00005E030000}"/>
    <cellStyle name="Normal 6 3 2 9" xfId="738" xr:uid="{00000000-0005-0000-0000-00005F030000}"/>
    <cellStyle name="Normal 6 3 3" xfId="739" xr:uid="{00000000-0005-0000-0000-000060030000}"/>
    <cellStyle name="Normal 6 3 4" xfId="740" xr:uid="{00000000-0005-0000-0000-000061030000}"/>
    <cellStyle name="Normal 6 3 5" xfId="741" xr:uid="{00000000-0005-0000-0000-000062030000}"/>
    <cellStyle name="Normal 6 3 6" xfId="742" xr:uid="{00000000-0005-0000-0000-000063030000}"/>
    <cellStyle name="Normal 6 3 7" xfId="743" xr:uid="{00000000-0005-0000-0000-000064030000}"/>
    <cellStyle name="Normal 6 3 8" xfId="744" xr:uid="{00000000-0005-0000-0000-000065030000}"/>
    <cellStyle name="Normal 6 3 9" xfId="745" xr:uid="{00000000-0005-0000-0000-000066030000}"/>
    <cellStyle name="Normal 6 4" xfId="746" xr:uid="{00000000-0005-0000-0000-000067030000}"/>
    <cellStyle name="Normal 6 4 10" xfId="747" xr:uid="{00000000-0005-0000-0000-000068030000}"/>
    <cellStyle name="Normal 6 4 11" xfId="748" xr:uid="{00000000-0005-0000-0000-000069030000}"/>
    <cellStyle name="Normal 6 4 12" xfId="749" xr:uid="{00000000-0005-0000-0000-00006A030000}"/>
    <cellStyle name="Normal 6 4 13" xfId="750" xr:uid="{00000000-0005-0000-0000-00006B030000}"/>
    <cellStyle name="Normal 6 4 14" xfId="751" xr:uid="{00000000-0005-0000-0000-00006C030000}"/>
    <cellStyle name="Normal 6 4 15" xfId="752" xr:uid="{00000000-0005-0000-0000-00006D030000}"/>
    <cellStyle name="Normal 6 4 16" xfId="753" xr:uid="{00000000-0005-0000-0000-00006E030000}"/>
    <cellStyle name="Normal 6 4 17" xfId="754" xr:uid="{00000000-0005-0000-0000-00006F030000}"/>
    <cellStyle name="Normal 6 4 18" xfId="755" xr:uid="{00000000-0005-0000-0000-000070030000}"/>
    <cellStyle name="Normal 6 4 2" xfId="756" xr:uid="{00000000-0005-0000-0000-000071030000}"/>
    <cellStyle name="Normal 6 4 3" xfId="757" xr:uid="{00000000-0005-0000-0000-000072030000}"/>
    <cellStyle name="Normal 6 4 4" xfId="758" xr:uid="{00000000-0005-0000-0000-000073030000}"/>
    <cellStyle name="Normal 6 4 5" xfId="759" xr:uid="{00000000-0005-0000-0000-000074030000}"/>
    <cellStyle name="Normal 6 4 6" xfId="760" xr:uid="{00000000-0005-0000-0000-000075030000}"/>
    <cellStyle name="Normal 6 4 7" xfId="761" xr:uid="{00000000-0005-0000-0000-000076030000}"/>
    <cellStyle name="Normal 6 4 8" xfId="762" xr:uid="{00000000-0005-0000-0000-000077030000}"/>
    <cellStyle name="Normal 6 4 9" xfId="763" xr:uid="{00000000-0005-0000-0000-000078030000}"/>
    <cellStyle name="Normal 6 5" xfId="764" xr:uid="{00000000-0005-0000-0000-000079030000}"/>
    <cellStyle name="Normal 6 6" xfId="765" xr:uid="{00000000-0005-0000-0000-00007A030000}"/>
    <cellStyle name="Normal 6 7" xfId="766" xr:uid="{00000000-0005-0000-0000-00007B030000}"/>
    <cellStyle name="Normal 6 8" xfId="767" xr:uid="{00000000-0005-0000-0000-00007C030000}"/>
    <cellStyle name="Normal 6 9" xfId="768" xr:uid="{00000000-0005-0000-0000-00007D030000}"/>
    <cellStyle name="Normal 7" xfId="769" xr:uid="{00000000-0005-0000-0000-00007E030000}"/>
    <cellStyle name="Normal 7 10" xfId="770" xr:uid="{00000000-0005-0000-0000-00007F030000}"/>
    <cellStyle name="Normal 7 11" xfId="771" xr:uid="{00000000-0005-0000-0000-000080030000}"/>
    <cellStyle name="Normal 7 12" xfId="772" xr:uid="{00000000-0005-0000-0000-000081030000}"/>
    <cellStyle name="Normal 7 13" xfId="773" xr:uid="{00000000-0005-0000-0000-000082030000}"/>
    <cellStyle name="Normal 7 14" xfId="774" xr:uid="{00000000-0005-0000-0000-000083030000}"/>
    <cellStyle name="Normal 7 15" xfId="775" xr:uid="{00000000-0005-0000-0000-000084030000}"/>
    <cellStyle name="Normal 7 16" xfId="776" xr:uid="{00000000-0005-0000-0000-000085030000}"/>
    <cellStyle name="Normal 7 17" xfId="777" xr:uid="{00000000-0005-0000-0000-000086030000}"/>
    <cellStyle name="Normal 7 18" xfId="778" xr:uid="{00000000-0005-0000-0000-000087030000}"/>
    <cellStyle name="Normal 7 19" xfId="779" xr:uid="{00000000-0005-0000-0000-000088030000}"/>
    <cellStyle name="Normal 7 2" xfId="780" xr:uid="{00000000-0005-0000-0000-000089030000}"/>
    <cellStyle name="Normal 7 2 10" xfId="781" xr:uid="{00000000-0005-0000-0000-00008A030000}"/>
    <cellStyle name="Normal 7 2 11" xfId="782" xr:uid="{00000000-0005-0000-0000-00008B030000}"/>
    <cellStyle name="Normal 7 2 12" xfId="783" xr:uid="{00000000-0005-0000-0000-00008C030000}"/>
    <cellStyle name="Normal 7 2 13" xfId="784" xr:uid="{00000000-0005-0000-0000-00008D030000}"/>
    <cellStyle name="Normal 7 2 14" xfId="785" xr:uid="{00000000-0005-0000-0000-00008E030000}"/>
    <cellStyle name="Normal 7 2 15" xfId="786" xr:uid="{00000000-0005-0000-0000-00008F030000}"/>
    <cellStyle name="Normal 7 2 16" xfId="787" xr:uid="{00000000-0005-0000-0000-000090030000}"/>
    <cellStyle name="Normal 7 2 17" xfId="788" xr:uid="{00000000-0005-0000-0000-000091030000}"/>
    <cellStyle name="Normal 7 2 18" xfId="789" xr:uid="{00000000-0005-0000-0000-000092030000}"/>
    <cellStyle name="Normal 7 2 19" xfId="790" xr:uid="{00000000-0005-0000-0000-000093030000}"/>
    <cellStyle name="Normal 7 2 2" xfId="791" xr:uid="{00000000-0005-0000-0000-000094030000}"/>
    <cellStyle name="Normal 7 2 2 10" xfId="792" xr:uid="{00000000-0005-0000-0000-000095030000}"/>
    <cellStyle name="Normal 7 2 2 11" xfId="793" xr:uid="{00000000-0005-0000-0000-000096030000}"/>
    <cellStyle name="Normal 7 2 2 12" xfId="794" xr:uid="{00000000-0005-0000-0000-000097030000}"/>
    <cellStyle name="Normal 7 2 2 13" xfId="795" xr:uid="{00000000-0005-0000-0000-000098030000}"/>
    <cellStyle name="Normal 7 2 2 14" xfId="796" xr:uid="{00000000-0005-0000-0000-000099030000}"/>
    <cellStyle name="Normal 7 2 2 15" xfId="797" xr:uid="{00000000-0005-0000-0000-00009A030000}"/>
    <cellStyle name="Normal 7 2 2 16" xfId="798" xr:uid="{00000000-0005-0000-0000-00009B030000}"/>
    <cellStyle name="Normal 7 2 2 17" xfId="799" xr:uid="{00000000-0005-0000-0000-00009C030000}"/>
    <cellStyle name="Normal 7 2 2 18" xfId="800" xr:uid="{00000000-0005-0000-0000-00009D030000}"/>
    <cellStyle name="Normal 7 2 2 19" xfId="801" xr:uid="{00000000-0005-0000-0000-00009E030000}"/>
    <cellStyle name="Normal 7 2 2 2" xfId="802" xr:uid="{00000000-0005-0000-0000-00009F030000}"/>
    <cellStyle name="Normal 7 2 2 2 2" xfId="803" xr:uid="{00000000-0005-0000-0000-0000A0030000}"/>
    <cellStyle name="Normal 7 2 2 2 3" xfId="804" xr:uid="{00000000-0005-0000-0000-0000A1030000}"/>
    <cellStyle name="Normal 7 2 2 2 4" xfId="805" xr:uid="{00000000-0005-0000-0000-0000A2030000}"/>
    <cellStyle name="Normal 7 2 2 2 5" xfId="806" xr:uid="{00000000-0005-0000-0000-0000A3030000}"/>
    <cellStyle name="Normal 7 2 2 3" xfId="807" xr:uid="{00000000-0005-0000-0000-0000A4030000}"/>
    <cellStyle name="Normal 7 2 2 3 2" xfId="808" xr:uid="{00000000-0005-0000-0000-0000A5030000}"/>
    <cellStyle name="Normal 7 2 2 3 3" xfId="809" xr:uid="{00000000-0005-0000-0000-0000A6030000}"/>
    <cellStyle name="Normal 7 2 2 3 4" xfId="810" xr:uid="{00000000-0005-0000-0000-0000A7030000}"/>
    <cellStyle name="Normal 7 2 2 3 5" xfId="811" xr:uid="{00000000-0005-0000-0000-0000A8030000}"/>
    <cellStyle name="Normal 7 2 2 4" xfId="812" xr:uid="{00000000-0005-0000-0000-0000A9030000}"/>
    <cellStyle name="Normal 7 2 2 5" xfId="813" xr:uid="{00000000-0005-0000-0000-0000AA030000}"/>
    <cellStyle name="Normal 7 2 2 6" xfId="814" xr:uid="{00000000-0005-0000-0000-0000AB030000}"/>
    <cellStyle name="Normal 7 2 2 7" xfId="815" xr:uid="{00000000-0005-0000-0000-0000AC030000}"/>
    <cellStyle name="Normal 7 2 2 8" xfId="816" xr:uid="{00000000-0005-0000-0000-0000AD030000}"/>
    <cellStyle name="Normal 7 2 2 9" xfId="817" xr:uid="{00000000-0005-0000-0000-0000AE030000}"/>
    <cellStyle name="Normal 7 2 3" xfId="818" xr:uid="{00000000-0005-0000-0000-0000AF030000}"/>
    <cellStyle name="Normal 7 2 3 2" xfId="819" xr:uid="{00000000-0005-0000-0000-0000B0030000}"/>
    <cellStyle name="Normal 7 2 3 3" xfId="820" xr:uid="{00000000-0005-0000-0000-0000B1030000}"/>
    <cellStyle name="Normal 7 2 3 4" xfId="821" xr:uid="{00000000-0005-0000-0000-0000B2030000}"/>
    <cellStyle name="Normal 7 2 3 5" xfId="822" xr:uid="{00000000-0005-0000-0000-0000B3030000}"/>
    <cellStyle name="Normal 7 2 4" xfId="823" xr:uid="{00000000-0005-0000-0000-0000B4030000}"/>
    <cellStyle name="Normal 7 2 4 2" xfId="824" xr:uid="{00000000-0005-0000-0000-0000B5030000}"/>
    <cellStyle name="Normal 7 2 4 3" xfId="825" xr:uid="{00000000-0005-0000-0000-0000B6030000}"/>
    <cellStyle name="Normal 7 2 4 4" xfId="826" xr:uid="{00000000-0005-0000-0000-0000B7030000}"/>
    <cellStyle name="Normal 7 2 4 5" xfId="827" xr:uid="{00000000-0005-0000-0000-0000B8030000}"/>
    <cellStyle name="Normal 7 2 5" xfId="828" xr:uid="{00000000-0005-0000-0000-0000B9030000}"/>
    <cellStyle name="Normal 7 2 6" xfId="829" xr:uid="{00000000-0005-0000-0000-0000BA030000}"/>
    <cellStyle name="Normal 7 2 7" xfId="830" xr:uid="{00000000-0005-0000-0000-0000BB030000}"/>
    <cellStyle name="Normal 7 2 8" xfId="831" xr:uid="{00000000-0005-0000-0000-0000BC030000}"/>
    <cellStyle name="Normal 7 2 9" xfId="832" xr:uid="{00000000-0005-0000-0000-0000BD030000}"/>
    <cellStyle name="Normal 7 20" xfId="833" xr:uid="{00000000-0005-0000-0000-0000BE030000}"/>
    <cellStyle name="Normal 7 21" xfId="834" xr:uid="{00000000-0005-0000-0000-0000BF030000}"/>
    <cellStyle name="Normal 7 3" xfId="835" xr:uid="{00000000-0005-0000-0000-0000C0030000}"/>
    <cellStyle name="Normal 7 3 10" xfId="836" xr:uid="{00000000-0005-0000-0000-0000C1030000}"/>
    <cellStyle name="Normal 7 3 11" xfId="837" xr:uid="{00000000-0005-0000-0000-0000C2030000}"/>
    <cellStyle name="Normal 7 3 12" xfId="838" xr:uid="{00000000-0005-0000-0000-0000C3030000}"/>
    <cellStyle name="Normal 7 3 13" xfId="839" xr:uid="{00000000-0005-0000-0000-0000C4030000}"/>
    <cellStyle name="Normal 7 3 14" xfId="840" xr:uid="{00000000-0005-0000-0000-0000C5030000}"/>
    <cellStyle name="Normal 7 3 15" xfId="841" xr:uid="{00000000-0005-0000-0000-0000C6030000}"/>
    <cellStyle name="Normal 7 3 16" xfId="842" xr:uid="{00000000-0005-0000-0000-0000C7030000}"/>
    <cellStyle name="Normal 7 3 17" xfId="843" xr:uid="{00000000-0005-0000-0000-0000C8030000}"/>
    <cellStyle name="Normal 7 3 18" xfId="844" xr:uid="{00000000-0005-0000-0000-0000C9030000}"/>
    <cellStyle name="Normal 7 3 19" xfId="845" xr:uid="{00000000-0005-0000-0000-0000CA030000}"/>
    <cellStyle name="Normal 7 3 2" xfId="846" xr:uid="{00000000-0005-0000-0000-0000CB030000}"/>
    <cellStyle name="Normal 7 3 2 10" xfId="847" xr:uid="{00000000-0005-0000-0000-0000CC030000}"/>
    <cellStyle name="Normal 7 3 2 11" xfId="848" xr:uid="{00000000-0005-0000-0000-0000CD030000}"/>
    <cellStyle name="Normal 7 3 2 12" xfId="849" xr:uid="{00000000-0005-0000-0000-0000CE030000}"/>
    <cellStyle name="Normal 7 3 2 13" xfId="850" xr:uid="{00000000-0005-0000-0000-0000CF030000}"/>
    <cellStyle name="Normal 7 3 2 14" xfId="851" xr:uid="{00000000-0005-0000-0000-0000D0030000}"/>
    <cellStyle name="Normal 7 3 2 15" xfId="852" xr:uid="{00000000-0005-0000-0000-0000D1030000}"/>
    <cellStyle name="Normal 7 3 2 16" xfId="853" xr:uid="{00000000-0005-0000-0000-0000D2030000}"/>
    <cellStyle name="Normal 7 3 2 17" xfId="854" xr:uid="{00000000-0005-0000-0000-0000D3030000}"/>
    <cellStyle name="Normal 7 3 2 18" xfId="855" xr:uid="{00000000-0005-0000-0000-0000D4030000}"/>
    <cellStyle name="Normal 7 3 2 19" xfId="856" xr:uid="{00000000-0005-0000-0000-0000D5030000}"/>
    <cellStyle name="Normal 7 3 2 2" xfId="857" xr:uid="{00000000-0005-0000-0000-0000D6030000}"/>
    <cellStyle name="Normal 7 3 2 2 10" xfId="858" xr:uid="{00000000-0005-0000-0000-0000D7030000}"/>
    <cellStyle name="Normal 7 3 2 2 11" xfId="859" xr:uid="{00000000-0005-0000-0000-0000D8030000}"/>
    <cellStyle name="Normal 7 3 2 2 12" xfId="860" xr:uid="{00000000-0005-0000-0000-0000D9030000}"/>
    <cellStyle name="Normal 7 3 2 2 13" xfId="861" xr:uid="{00000000-0005-0000-0000-0000DA030000}"/>
    <cellStyle name="Normal 7 3 2 2 14" xfId="862" xr:uid="{00000000-0005-0000-0000-0000DB030000}"/>
    <cellStyle name="Normal 7 3 2 2 15" xfId="863" xr:uid="{00000000-0005-0000-0000-0000DC030000}"/>
    <cellStyle name="Normal 7 3 2 2 16" xfId="864" xr:uid="{00000000-0005-0000-0000-0000DD030000}"/>
    <cellStyle name="Normal 7 3 2 2 17" xfId="865" xr:uid="{00000000-0005-0000-0000-0000DE030000}"/>
    <cellStyle name="Normal 7 3 2 2 18" xfId="866" xr:uid="{00000000-0005-0000-0000-0000DF030000}"/>
    <cellStyle name="Normal 7 3 2 2 2" xfId="867" xr:uid="{00000000-0005-0000-0000-0000E0030000}"/>
    <cellStyle name="Normal 7 3 2 2 2 2" xfId="868" xr:uid="{00000000-0005-0000-0000-0000E1030000}"/>
    <cellStyle name="Normal 7 3 2 2 2 2 2" xfId="869" xr:uid="{00000000-0005-0000-0000-0000E2030000}"/>
    <cellStyle name="Normal 7 3 2 2 2 2 2 2" xfId="870" xr:uid="{00000000-0005-0000-0000-0000E3030000}"/>
    <cellStyle name="Normal 7 3 2 2 2 2 2 2 2" xfId="871" xr:uid="{00000000-0005-0000-0000-0000E4030000}"/>
    <cellStyle name="Normal 7 3 2 2 2 2 2 2 2 2" xfId="872" xr:uid="{00000000-0005-0000-0000-0000E5030000}"/>
    <cellStyle name="Normal 7 3 2 2 2 2 2 2 2 3" xfId="873" xr:uid="{00000000-0005-0000-0000-0000E6030000}"/>
    <cellStyle name="Normal 7 3 2 2 2 2 2 2 2 4" xfId="874" xr:uid="{00000000-0005-0000-0000-0000E7030000}"/>
    <cellStyle name="Normal 7 3 2 2 2 2 2 2 2 5" xfId="875" xr:uid="{00000000-0005-0000-0000-0000E8030000}"/>
    <cellStyle name="Normal 7 3 2 2 2 2 2 2 3" xfId="876" xr:uid="{00000000-0005-0000-0000-0000E9030000}"/>
    <cellStyle name="Normal 7 3 2 2 2 2 2 2 3 2" xfId="877" xr:uid="{00000000-0005-0000-0000-0000EA030000}"/>
    <cellStyle name="Normal 7 3 2 2 2 2 2 2 3 3" xfId="878" xr:uid="{00000000-0005-0000-0000-0000EB030000}"/>
    <cellStyle name="Normal 7 3 2 2 2 2 2 2 3 4" xfId="879" xr:uid="{00000000-0005-0000-0000-0000EC030000}"/>
    <cellStyle name="Normal 7 3 2 2 2 2 2 2 3 5" xfId="880" xr:uid="{00000000-0005-0000-0000-0000ED030000}"/>
    <cellStyle name="Normal 7 3 2 2 2 2 2 2 4" xfId="881" xr:uid="{00000000-0005-0000-0000-0000EE030000}"/>
    <cellStyle name="Normal 7 3 2 2 2 2 2 2 5" xfId="882" xr:uid="{00000000-0005-0000-0000-0000EF030000}"/>
    <cellStyle name="Normal 7 3 2 2 2 2 2 2 6" xfId="883" xr:uid="{00000000-0005-0000-0000-0000F0030000}"/>
    <cellStyle name="Normal 7 3 2 2 2 2 2 2 7" xfId="884" xr:uid="{00000000-0005-0000-0000-0000F1030000}"/>
    <cellStyle name="Normal 7 3 2 2 2 2 2 3" xfId="885" xr:uid="{00000000-0005-0000-0000-0000F2030000}"/>
    <cellStyle name="Normal 7 3 2 2 2 2 2 3 2" xfId="886" xr:uid="{00000000-0005-0000-0000-0000F3030000}"/>
    <cellStyle name="Normal 7 3 2 2 2 2 2 3 3" xfId="887" xr:uid="{00000000-0005-0000-0000-0000F4030000}"/>
    <cellStyle name="Normal 7 3 2 2 2 2 2 3 4" xfId="888" xr:uid="{00000000-0005-0000-0000-0000F5030000}"/>
    <cellStyle name="Normal 7 3 2 2 2 2 2 3 5" xfId="889" xr:uid="{00000000-0005-0000-0000-0000F6030000}"/>
    <cellStyle name="Normal 7 3 2 2 2 2 2 4" xfId="890" xr:uid="{00000000-0005-0000-0000-0000F7030000}"/>
    <cellStyle name="Normal 7 3 2 2 2 2 2 4 2" xfId="891" xr:uid="{00000000-0005-0000-0000-0000F8030000}"/>
    <cellStyle name="Normal 7 3 2 2 2 2 2 4 3" xfId="892" xr:uid="{00000000-0005-0000-0000-0000F9030000}"/>
    <cellStyle name="Normal 7 3 2 2 2 2 2 4 4" xfId="893" xr:uid="{00000000-0005-0000-0000-0000FA030000}"/>
    <cellStyle name="Normal 7 3 2 2 2 2 2 4 5" xfId="894" xr:uid="{00000000-0005-0000-0000-0000FB030000}"/>
    <cellStyle name="Normal 7 3 2 2 2 2 2 5" xfId="895" xr:uid="{00000000-0005-0000-0000-0000FC030000}"/>
    <cellStyle name="Normal 7 3 2 2 2 2 2 6" xfId="896" xr:uid="{00000000-0005-0000-0000-0000FD030000}"/>
    <cellStyle name="Normal 7 3 2 2 2 2 2 7" xfId="897" xr:uid="{00000000-0005-0000-0000-0000FE030000}"/>
    <cellStyle name="Normal 7 3 2 2 2 2 2 8" xfId="898" xr:uid="{00000000-0005-0000-0000-0000FF030000}"/>
    <cellStyle name="Normal 7 3 2 2 2 2 3" xfId="899" xr:uid="{00000000-0005-0000-0000-000000040000}"/>
    <cellStyle name="Normal 7 3 2 2 2 2 4" xfId="900" xr:uid="{00000000-0005-0000-0000-000001040000}"/>
    <cellStyle name="Normal 7 3 2 2 2 2 5" xfId="901" xr:uid="{00000000-0005-0000-0000-000002040000}"/>
    <cellStyle name="Normal 7 3 2 2 2 2 6" xfId="902" xr:uid="{00000000-0005-0000-0000-000003040000}"/>
    <cellStyle name="Normal 7 3 2 2 2 3" xfId="903" xr:uid="{00000000-0005-0000-0000-000004040000}"/>
    <cellStyle name="Normal 7 3 2 2 2 3 2" xfId="904" xr:uid="{00000000-0005-0000-0000-000005040000}"/>
    <cellStyle name="Normal 7 3 2 2 2 3 3" xfId="905" xr:uid="{00000000-0005-0000-0000-000006040000}"/>
    <cellStyle name="Normal 7 3 2 2 2 3 4" xfId="906" xr:uid="{00000000-0005-0000-0000-000007040000}"/>
    <cellStyle name="Normal 7 3 2 2 2 3 5" xfId="907" xr:uid="{00000000-0005-0000-0000-000008040000}"/>
    <cellStyle name="Normal 7 3 2 2 2 4" xfId="908" xr:uid="{00000000-0005-0000-0000-000009040000}"/>
    <cellStyle name="Normal 7 3 2 2 2 5" xfId="909" xr:uid="{00000000-0005-0000-0000-00000A040000}"/>
    <cellStyle name="Normal 7 3 2 2 2 6" xfId="910" xr:uid="{00000000-0005-0000-0000-00000B040000}"/>
    <cellStyle name="Normal 7 3 2 2 2 7" xfId="911" xr:uid="{00000000-0005-0000-0000-00000C040000}"/>
    <cellStyle name="Normal 7 3 2 2 3" xfId="912" xr:uid="{00000000-0005-0000-0000-00000D040000}"/>
    <cellStyle name="Normal 7 3 2 2 3 2" xfId="913" xr:uid="{00000000-0005-0000-0000-00000E040000}"/>
    <cellStyle name="Normal 7 3 2 2 3 2 2" xfId="914" xr:uid="{00000000-0005-0000-0000-00000F040000}"/>
    <cellStyle name="Normal 7 3 2 2 3 2 2 10" xfId="915" xr:uid="{00000000-0005-0000-0000-000010040000}"/>
    <cellStyle name="Normal 7 3 2 2 3 2 2 11" xfId="916" xr:uid="{00000000-0005-0000-0000-000011040000}"/>
    <cellStyle name="Normal 7 3 2 2 3 2 2 12" xfId="917" xr:uid="{00000000-0005-0000-0000-000012040000}"/>
    <cellStyle name="Normal 7 3 2 2 3 2 2 13" xfId="918" xr:uid="{00000000-0005-0000-0000-000013040000}"/>
    <cellStyle name="Normal 7 3 2 2 3 2 2 14" xfId="919" xr:uid="{00000000-0005-0000-0000-000014040000}"/>
    <cellStyle name="Normal 7 3 2 2 3 2 2 15" xfId="920" xr:uid="{00000000-0005-0000-0000-000015040000}"/>
    <cellStyle name="Normal 7 3 2 2 3 2 2 16" xfId="921" xr:uid="{00000000-0005-0000-0000-000016040000}"/>
    <cellStyle name="Normal 7 3 2 2 3 2 2 17" xfId="922" xr:uid="{00000000-0005-0000-0000-000017040000}"/>
    <cellStyle name="Normal 7 3 2 2 3 2 2 18" xfId="923" xr:uid="{00000000-0005-0000-0000-000018040000}"/>
    <cellStyle name="Normal 7 3 2 2 3 2 2 19" xfId="924" xr:uid="{00000000-0005-0000-0000-000019040000}"/>
    <cellStyle name="Normal 7 3 2 2 3 2 2 2" xfId="925" xr:uid="{00000000-0005-0000-0000-00001A040000}"/>
    <cellStyle name="Normal 7 3 2 2 3 2 2 2 2" xfId="926" xr:uid="{00000000-0005-0000-0000-00001B040000}"/>
    <cellStyle name="Normal 7 3 2 2 3 2 2 2 3" xfId="927" xr:uid="{00000000-0005-0000-0000-00001C040000}"/>
    <cellStyle name="Normal 7 3 2 2 3 2 2 2 3 2 2 2 2 8 2 2 2 3 2 3 3" xfId="1478" xr:uid="{00000000-0005-0000-0000-00001D040000}"/>
    <cellStyle name="Normal 7 3 2 2 3 2 2 2 4" xfId="928" xr:uid="{00000000-0005-0000-0000-00001E040000}"/>
    <cellStyle name="Normal 7 3 2 2 3 2 2 2 5" xfId="929" xr:uid="{00000000-0005-0000-0000-00001F040000}"/>
    <cellStyle name="Normal 7 3 2 2 3 2 2 2 99 2 3 3 2 2 3" xfId="1479" xr:uid="{00000000-0005-0000-0000-000020040000}"/>
    <cellStyle name="Normal 7 3 2 2 3 2 2 3" xfId="930" xr:uid="{00000000-0005-0000-0000-000021040000}"/>
    <cellStyle name="Normal 7 3 2 2 3 2 2 3 2" xfId="931" xr:uid="{00000000-0005-0000-0000-000022040000}"/>
    <cellStyle name="Normal 7 3 2 2 3 2 2 3 2 2 28 2 2 2 3 2" xfId="1480" xr:uid="{00000000-0005-0000-0000-000023040000}"/>
    <cellStyle name="Normal 7 3 2 2 3 2 2 3 2 2 28 2 2 2 3 2 2" xfId="1481" xr:uid="{00000000-0005-0000-0000-000024040000}"/>
    <cellStyle name="Normal 7 3 2 2 3 2 2 3 3" xfId="932" xr:uid="{00000000-0005-0000-0000-000025040000}"/>
    <cellStyle name="Normal 7 3 2 2 3 2 2 3 4" xfId="933" xr:uid="{00000000-0005-0000-0000-000026040000}"/>
    <cellStyle name="Normal 7 3 2 2 3 2 2 3 5" xfId="934" xr:uid="{00000000-0005-0000-0000-000027040000}"/>
    <cellStyle name="Normal 7 3 2 2 3 2 2 4" xfId="935" xr:uid="{00000000-0005-0000-0000-000028040000}"/>
    <cellStyle name="Normal 7 3 2 2 3 2 2 5" xfId="936" xr:uid="{00000000-0005-0000-0000-000029040000}"/>
    <cellStyle name="Normal 7 3 2 2 3 2 2 6" xfId="937" xr:uid="{00000000-0005-0000-0000-00002A040000}"/>
    <cellStyle name="Normal 7 3 2 2 3 2 2 7" xfId="938" xr:uid="{00000000-0005-0000-0000-00002B040000}"/>
    <cellStyle name="Normal 7 3 2 2 3 2 2 8" xfId="939" xr:uid="{00000000-0005-0000-0000-00002C040000}"/>
    <cellStyle name="Normal 7 3 2 2 3 2 2 9" xfId="940" xr:uid="{00000000-0005-0000-0000-00002D040000}"/>
    <cellStyle name="Normal 7 3 2 2 3 2 3" xfId="941" xr:uid="{00000000-0005-0000-0000-00002E040000}"/>
    <cellStyle name="Normal 7 3 2 2 3 2 3 2" xfId="942" xr:uid="{00000000-0005-0000-0000-00002F040000}"/>
    <cellStyle name="Normal 7 3 2 2 3 2 3 3" xfId="943" xr:uid="{00000000-0005-0000-0000-000030040000}"/>
    <cellStyle name="Normal 7 3 2 2 3 2 3 4" xfId="944" xr:uid="{00000000-0005-0000-0000-000031040000}"/>
    <cellStyle name="Normal 7 3 2 2 3 2 3 5" xfId="945" xr:uid="{00000000-0005-0000-0000-000032040000}"/>
    <cellStyle name="Normal 7 3 2 2 3 2 4" xfId="946" xr:uid="{00000000-0005-0000-0000-000033040000}"/>
    <cellStyle name="Normal 7 3 2 2 3 2 4 2" xfId="947" xr:uid="{00000000-0005-0000-0000-000034040000}"/>
    <cellStyle name="Normal 7 3 2 2 3 2 4 3" xfId="948" xr:uid="{00000000-0005-0000-0000-000035040000}"/>
    <cellStyle name="Normal 7 3 2 2 3 2 4 4" xfId="949" xr:uid="{00000000-0005-0000-0000-000036040000}"/>
    <cellStyle name="Normal 7 3 2 2 3 2 4 5" xfId="950" xr:uid="{00000000-0005-0000-0000-000037040000}"/>
    <cellStyle name="Normal 7 3 2 2 3 2 5" xfId="951" xr:uid="{00000000-0005-0000-0000-000038040000}"/>
    <cellStyle name="Normal 7 3 2 2 3 2 6" xfId="952" xr:uid="{00000000-0005-0000-0000-000039040000}"/>
    <cellStyle name="Normal 7 3 2 2 3 2 7" xfId="953" xr:uid="{00000000-0005-0000-0000-00003A040000}"/>
    <cellStyle name="Normal 7 3 2 2 3 2 8" xfId="954" xr:uid="{00000000-0005-0000-0000-00003B040000}"/>
    <cellStyle name="Normal 7 3 2 2 3 3" xfId="955" xr:uid="{00000000-0005-0000-0000-00003C040000}"/>
    <cellStyle name="Normal 7 3 2 2 3 3 2" xfId="956" xr:uid="{00000000-0005-0000-0000-00003D040000}"/>
    <cellStyle name="Normal 7 3 2 2 3 3 2 2" xfId="957" xr:uid="{00000000-0005-0000-0000-00003E040000}"/>
    <cellStyle name="Normal 7 3 2 2 3 3 2 3" xfId="958" xr:uid="{00000000-0005-0000-0000-00003F040000}"/>
    <cellStyle name="Normal 7 3 2 2 3 3 2 4" xfId="959" xr:uid="{00000000-0005-0000-0000-000040040000}"/>
    <cellStyle name="Normal 7 3 2 2 3 3 2 5" xfId="960" xr:uid="{00000000-0005-0000-0000-000041040000}"/>
    <cellStyle name="Normal 7 3 2 2 3 3 3" xfId="961" xr:uid="{00000000-0005-0000-0000-000042040000}"/>
    <cellStyle name="Normal 7 3 2 2 3 3 3 2" xfId="962" xr:uid="{00000000-0005-0000-0000-000043040000}"/>
    <cellStyle name="Normal 7 3 2 2 3 3 3 3" xfId="963" xr:uid="{00000000-0005-0000-0000-000044040000}"/>
    <cellStyle name="Normal 7 3 2 2 3 3 3 4" xfId="964" xr:uid="{00000000-0005-0000-0000-000045040000}"/>
    <cellStyle name="Normal 7 3 2 2 3 3 3 5" xfId="965" xr:uid="{00000000-0005-0000-0000-000046040000}"/>
    <cellStyle name="Normal 7 3 2 2 3 3 4" xfId="966" xr:uid="{00000000-0005-0000-0000-000047040000}"/>
    <cellStyle name="Normal 7 3 2 2 3 3 5" xfId="967" xr:uid="{00000000-0005-0000-0000-000048040000}"/>
    <cellStyle name="Normal 7 3 2 2 3 3 6" xfId="968" xr:uid="{00000000-0005-0000-0000-000049040000}"/>
    <cellStyle name="Normal 7 3 2 2 3 3 7" xfId="969" xr:uid="{00000000-0005-0000-0000-00004A040000}"/>
    <cellStyle name="Normal 7 3 2 2 3 4" xfId="970" xr:uid="{00000000-0005-0000-0000-00004B040000}"/>
    <cellStyle name="Normal 7 3 2 2 3 4 2" xfId="971" xr:uid="{00000000-0005-0000-0000-00004C040000}"/>
    <cellStyle name="Normal 7 3 2 2 3 4 3" xfId="972" xr:uid="{00000000-0005-0000-0000-00004D040000}"/>
    <cellStyle name="Normal 7 3 2 2 3 4 4" xfId="973" xr:uid="{00000000-0005-0000-0000-00004E040000}"/>
    <cellStyle name="Normal 7 3 2 2 3 4 5" xfId="974" xr:uid="{00000000-0005-0000-0000-00004F040000}"/>
    <cellStyle name="Normal 7 3 2 2 3 5" xfId="975" xr:uid="{00000000-0005-0000-0000-000050040000}"/>
    <cellStyle name="Normal 7 3 2 2 3 5 2" xfId="976" xr:uid="{00000000-0005-0000-0000-000051040000}"/>
    <cellStyle name="Normal 7 3 2 2 3 5 3" xfId="977" xr:uid="{00000000-0005-0000-0000-000052040000}"/>
    <cellStyle name="Normal 7 3 2 2 3 5 4" xfId="978" xr:uid="{00000000-0005-0000-0000-000053040000}"/>
    <cellStyle name="Normal 7 3 2 2 3 5 5" xfId="979" xr:uid="{00000000-0005-0000-0000-000054040000}"/>
    <cellStyle name="Normal 7 3 2 2 3 6" xfId="980" xr:uid="{00000000-0005-0000-0000-000055040000}"/>
    <cellStyle name="Normal 7 3 2 2 3 7" xfId="981" xr:uid="{00000000-0005-0000-0000-000056040000}"/>
    <cellStyle name="Normal 7 3 2 2 3 8" xfId="982" xr:uid="{00000000-0005-0000-0000-000057040000}"/>
    <cellStyle name="Normal 7 3 2 2 3 9" xfId="983" xr:uid="{00000000-0005-0000-0000-000058040000}"/>
    <cellStyle name="Normal 7 3 2 2 4" xfId="984" xr:uid="{00000000-0005-0000-0000-000059040000}"/>
    <cellStyle name="Normal 7 3 2 2 4 2" xfId="985" xr:uid="{00000000-0005-0000-0000-00005A040000}"/>
    <cellStyle name="Normal 7 3 2 2 4 3" xfId="986" xr:uid="{00000000-0005-0000-0000-00005B040000}"/>
    <cellStyle name="Normal 7 3 2 2 4 4" xfId="987" xr:uid="{00000000-0005-0000-0000-00005C040000}"/>
    <cellStyle name="Normal 7 3 2 2 4 5" xfId="988" xr:uid="{00000000-0005-0000-0000-00005D040000}"/>
    <cellStyle name="Normal 7 3 2 2 5" xfId="989" xr:uid="{00000000-0005-0000-0000-00005E040000}"/>
    <cellStyle name="Normal 7 3 2 2 5 2" xfId="990" xr:uid="{00000000-0005-0000-0000-00005F040000}"/>
    <cellStyle name="Normal 7 3 2 2 5 3" xfId="991" xr:uid="{00000000-0005-0000-0000-000060040000}"/>
    <cellStyle name="Normal 7 3 2 2 5 4" xfId="992" xr:uid="{00000000-0005-0000-0000-000061040000}"/>
    <cellStyle name="Normal 7 3 2 2 5 5" xfId="993" xr:uid="{00000000-0005-0000-0000-000062040000}"/>
    <cellStyle name="Normal 7 3 2 2 6" xfId="994" xr:uid="{00000000-0005-0000-0000-000063040000}"/>
    <cellStyle name="Normal 7 3 2 2 7" xfId="995" xr:uid="{00000000-0005-0000-0000-000064040000}"/>
    <cellStyle name="Normal 7 3 2 2 8" xfId="996" xr:uid="{00000000-0005-0000-0000-000065040000}"/>
    <cellStyle name="Normal 7 3 2 2 9" xfId="997" xr:uid="{00000000-0005-0000-0000-000066040000}"/>
    <cellStyle name="Normal 7 3 2 3" xfId="998" xr:uid="{00000000-0005-0000-0000-000067040000}"/>
    <cellStyle name="Normal 7 3 2 3 2" xfId="999" xr:uid="{00000000-0005-0000-0000-000068040000}"/>
    <cellStyle name="Normal 7 3 2 3 2 2" xfId="1000" xr:uid="{00000000-0005-0000-0000-000069040000}"/>
    <cellStyle name="Normal 7 3 2 3 2 2 2" xfId="1001" xr:uid="{00000000-0005-0000-0000-00006A040000}"/>
    <cellStyle name="Normal 7 3 2 3 2 2 3" xfId="1002" xr:uid="{00000000-0005-0000-0000-00006B040000}"/>
    <cellStyle name="Normal 7 3 2 3 2 2 4" xfId="1003" xr:uid="{00000000-0005-0000-0000-00006C040000}"/>
    <cellStyle name="Normal 7 3 2 3 2 2 5" xfId="1004" xr:uid="{00000000-0005-0000-0000-00006D040000}"/>
    <cellStyle name="Normal 7 3 2 3 2 3" xfId="1005" xr:uid="{00000000-0005-0000-0000-00006E040000}"/>
    <cellStyle name="Normal 7 3 2 3 2 3 2" xfId="1006" xr:uid="{00000000-0005-0000-0000-00006F040000}"/>
    <cellStyle name="Normal 7 3 2 3 2 3 3" xfId="1007" xr:uid="{00000000-0005-0000-0000-000070040000}"/>
    <cellStyle name="Normal 7 3 2 3 2 3 4" xfId="1008" xr:uid="{00000000-0005-0000-0000-000071040000}"/>
    <cellStyle name="Normal 7 3 2 3 2 3 5" xfId="1009" xr:uid="{00000000-0005-0000-0000-000072040000}"/>
    <cellStyle name="Normal 7 3 2 3 2 4" xfId="1010" xr:uid="{00000000-0005-0000-0000-000073040000}"/>
    <cellStyle name="Normal 7 3 2 3 2 5" xfId="1011" xr:uid="{00000000-0005-0000-0000-000074040000}"/>
    <cellStyle name="Normal 7 3 2 3 2 6" xfId="1012" xr:uid="{00000000-0005-0000-0000-000075040000}"/>
    <cellStyle name="Normal 7 3 2 3 2 7" xfId="1013" xr:uid="{00000000-0005-0000-0000-000076040000}"/>
    <cellStyle name="Normal 7 3 2 3 3" xfId="1014" xr:uid="{00000000-0005-0000-0000-000077040000}"/>
    <cellStyle name="Normal 7 3 2 3 3 2" xfId="1015" xr:uid="{00000000-0005-0000-0000-000078040000}"/>
    <cellStyle name="Normal 7 3 2 3 3 3" xfId="1016" xr:uid="{00000000-0005-0000-0000-000079040000}"/>
    <cellStyle name="Normal 7 3 2 3 3 4" xfId="1017" xr:uid="{00000000-0005-0000-0000-00007A040000}"/>
    <cellStyle name="Normal 7 3 2 3 3 5" xfId="1018" xr:uid="{00000000-0005-0000-0000-00007B040000}"/>
    <cellStyle name="Normal 7 3 2 3 4" xfId="1019" xr:uid="{00000000-0005-0000-0000-00007C040000}"/>
    <cellStyle name="Normal 7 3 2 3 4 2" xfId="1020" xr:uid="{00000000-0005-0000-0000-00007D040000}"/>
    <cellStyle name="Normal 7 3 2 3 4 3" xfId="1021" xr:uid="{00000000-0005-0000-0000-00007E040000}"/>
    <cellStyle name="Normal 7 3 2 3 4 4" xfId="1022" xr:uid="{00000000-0005-0000-0000-00007F040000}"/>
    <cellStyle name="Normal 7 3 2 3 4 5" xfId="1023" xr:uid="{00000000-0005-0000-0000-000080040000}"/>
    <cellStyle name="Normal 7 3 2 3 5" xfId="1024" xr:uid="{00000000-0005-0000-0000-000081040000}"/>
    <cellStyle name="Normal 7 3 2 3 6" xfId="1025" xr:uid="{00000000-0005-0000-0000-000082040000}"/>
    <cellStyle name="Normal 7 3 2 3 7" xfId="1026" xr:uid="{00000000-0005-0000-0000-000083040000}"/>
    <cellStyle name="Normal 7 3 2 3 8" xfId="1027" xr:uid="{00000000-0005-0000-0000-000084040000}"/>
    <cellStyle name="Normal 7 3 2 4" xfId="1028" xr:uid="{00000000-0005-0000-0000-000085040000}"/>
    <cellStyle name="Normal 7 3 2 4 2" xfId="1029" xr:uid="{00000000-0005-0000-0000-000086040000}"/>
    <cellStyle name="Normal 7 3 2 4 2 2" xfId="1030" xr:uid="{00000000-0005-0000-0000-000087040000}"/>
    <cellStyle name="Normal 7 3 2 4 2 3" xfId="1031" xr:uid="{00000000-0005-0000-0000-000088040000}"/>
    <cellStyle name="Normal 7 3 2 4 2 4" xfId="1032" xr:uid="{00000000-0005-0000-0000-000089040000}"/>
    <cellStyle name="Normal 7 3 2 4 2 5" xfId="1033" xr:uid="{00000000-0005-0000-0000-00008A040000}"/>
    <cellStyle name="Normal 7 3 2 4 3" xfId="1034" xr:uid="{00000000-0005-0000-0000-00008B040000}"/>
    <cellStyle name="Normal 7 3 2 4 3 2" xfId="1035" xr:uid="{00000000-0005-0000-0000-00008C040000}"/>
    <cellStyle name="Normal 7 3 2 4 3 3" xfId="1036" xr:uid="{00000000-0005-0000-0000-00008D040000}"/>
    <cellStyle name="Normal 7 3 2 4 3 4" xfId="1037" xr:uid="{00000000-0005-0000-0000-00008E040000}"/>
    <cellStyle name="Normal 7 3 2 4 3 5" xfId="1038" xr:uid="{00000000-0005-0000-0000-00008F040000}"/>
    <cellStyle name="Normal 7 3 2 4 4" xfId="1039" xr:uid="{00000000-0005-0000-0000-000090040000}"/>
    <cellStyle name="Normal 7 3 2 4 5" xfId="1040" xr:uid="{00000000-0005-0000-0000-000091040000}"/>
    <cellStyle name="Normal 7 3 2 4 6" xfId="1041" xr:uid="{00000000-0005-0000-0000-000092040000}"/>
    <cellStyle name="Normal 7 3 2 4 7" xfId="1042" xr:uid="{00000000-0005-0000-0000-000093040000}"/>
    <cellStyle name="Normal 7 3 2 5" xfId="1043" xr:uid="{00000000-0005-0000-0000-000094040000}"/>
    <cellStyle name="Normal 7 3 2 5 2" xfId="1044" xr:uid="{00000000-0005-0000-0000-000095040000}"/>
    <cellStyle name="Normal 7 3 2 5 3" xfId="1045" xr:uid="{00000000-0005-0000-0000-000096040000}"/>
    <cellStyle name="Normal 7 3 2 5 4" xfId="1046" xr:uid="{00000000-0005-0000-0000-000097040000}"/>
    <cellStyle name="Normal 7 3 2 5 5" xfId="1047" xr:uid="{00000000-0005-0000-0000-000098040000}"/>
    <cellStyle name="Normal 7 3 2 6" xfId="1048" xr:uid="{00000000-0005-0000-0000-000099040000}"/>
    <cellStyle name="Normal 7 3 2 6 2" xfId="1049" xr:uid="{00000000-0005-0000-0000-00009A040000}"/>
    <cellStyle name="Normal 7 3 2 6 3" xfId="1050" xr:uid="{00000000-0005-0000-0000-00009B040000}"/>
    <cellStyle name="Normal 7 3 2 6 4" xfId="1051" xr:uid="{00000000-0005-0000-0000-00009C040000}"/>
    <cellStyle name="Normal 7 3 2 6 5" xfId="1052" xr:uid="{00000000-0005-0000-0000-00009D040000}"/>
    <cellStyle name="Normal 7 3 2 7" xfId="1053" xr:uid="{00000000-0005-0000-0000-00009E040000}"/>
    <cellStyle name="Normal 7 3 2 8" xfId="1054" xr:uid="{00000000-0005-0000-0000-00009F040000}"/>
    <cellStyle name="Normal 7 3 2 9" xfId="1055" xr:uid="{00000000-0005-0000-0000-0000A0040000}"/>
    <cellStyle name="Normal 7 3 20" xfId="1056" xr:uid="{00000000-0005-0000-0000-0000A1040000}"/>
    <cellStyle name="Normal 7 3 21" xfId="1057" xr:uid="{00000000-0005-0000-0000-0000A2040000}"/>
    <cellStyle name="Normal 7 3 22" xfId="1058" xr:uid="{00000000-0005-0000-0000-0000A3040000}"/>
    <cellStyle name="Normal 7 3 23" xfId="1059" xr:uid="{00000000-0005-0000-0000-0000A4040000}"/>
    <cellStyle name="Normal 7 3 3" xfId="1060" xr:uid="{00000000-0005-0000-0000-0000A5040000}"/>
    <cellStyle name="Normal 7 3 3 10" xfId="1061" xr:uid="{00000000-0005-0000-0000-0000A6040000}"/>
    <cellStyle name="Normal 7 3 3 11" xfId="1062" xr:uid="{00000000-0005-0000-0000-0000A7040000}"/>
    <cellStyle name="Normal 7 3 3 12" xfId="1063" xr:uid="{00000000-0005-0000-0000-0000A8040000}"/>
    <cellStyle name="Normal 7 3 3 13" xfId="1064" xr:uid="{00000000-0005-0000-0000-0000A9040000}"/>
    <cellStyle name="Normal 7 3 3 14" xfId="1065" xr:uid="{00000000-0005-0000-0000-0000AA040000}"/>
    <cellStyle name="Normal 7 3 3 15" xfId="1066" xr:uid="{00000000-0005-0000-0000-0000AB040000}"/>
    <cellStyle name="Normal 7 3 3 16" xfId="1067" xr:uid="{00000000-0005-0000-0000-0000AC040000}"/>
    <cellStyle name="Normal 7 3 3 17" xfId="1068" xr:uid="{00000000-0005-0000-0000-0000AD040000}"/>
    <cellStyle name="Normal 7 3 3 18" xfId="1069" xr:uid="{00000000-0005-0000-0000-0000AE040000}"/>
    <cellStyle name="Normal 7 3 3 2" xfId="1070" xr:uid="{00000000-0005-0000-0000-0000AF040000}"/>
    <cellStyle name="Normal 7 3 3 2 2" xfId="1071" xr:uid="{00000000-0005-0000-0000-0000B0040000}"/>
    <cellStyle name="Normal 7 3 3 2 3" xfId="1072" xr:uid="{00000000-0005-0000-0000-0000B1040000}"/>
    <cellStyle name="Normal 7 3 3 2 4" xfId="1073" xr:uid="{00000000-0005-0000-0000-0000B2040000}"/>
    <cellStyle name="Normal 7 3 3 2 5" xfId="1074" xr:uid="{00000000-0005-0000-0000-0000B3040000}"/>
    <cellStyle name="Normal 7 3 3 3" xfId="1075" xr:uid="{00000000-0005-0000-0000-0000B4040000}"/>
    <cellStyle name="Normal 7 3 3 3 2" xfId="1076" xr:uid="{00000000-0005-0000-0000-0000B5040000}"/>
    <cellStyle name="Normal 7 3 3 3 3" xfId="1077" xr:uid="{00000000-0005-0000-0000-0000B6040000}"/>
    <cellStyle name="Normal 7 3 3 3 4" xfId="1078" xr:uid="{00000000-0005-0000-0000-0000B7040000}"/>
    <cellStyle name="Normal 7 3 3 3 5" xfId="1079" xr:uid="{00000000-0005-0000-0000-0000B8040000}"/>
    <cellStyle name="Normal 7 3 3 4" xfId="1080" xr:uid="{00000000-0005-0000-0000-0000B9040000}"/>
    <cellStyle name="Normal 7 3 3 5" xfId="1081" xr:uid="{00000000-0005-0000-0000-0000BA040000}"/>
    <cellStyle name="Normal 7 3 3 6" xfId="1082" xr:uid="{00000000-0005-0000-0000-0000BB040000}"/>
    <cellStyle name="Normal 7 3 3 7" xfId="1083" xr:uid="{00000000-0005-0000-0000-0000BC040000}"/>
    <cellStyle name="Normal 7 3 3 8" xfId="1084" xr:uid="{00000000-0005-0000-0000-0000BD040000}"/>
    <cellStyle name="Normal 7 3 3 9" xfId="1085" xr:uid="{00000000-0005-0000-0000-0000BE040000}"/>
    <cellStyle name="Normal 7 3 4" xfId="1086" xr:uid="{00000000-0005-0000-0000-0000BF040000}"/>
    <cellStyle name="Normal 7 3 4 10" xfId="1087" xr:uid="{00000000-0005-0000-0000-0000C0040000}"/>
    <cellStyle name="Normal 7 3 4 11" xfId="1088" xr:uid="{00000000-0005-0000-0000-0000C1040000}"/>
    <cellStyle name="Normal 7 3 4 12" xfId="1089" xr:uid="{00000000-0005-0000-0000-0000C2040000}"/>
    <cellStyle name="Normal 7 3 4 13" xfId="1090" xr:uid="{00000000-0005-0000-0000-0000C3040000}"/>
    <cellStyle name="Normal 7 3 4 14" xfId="1091" xr:uid="{00000000-0005-0000-0000-0000C4040000}"/>
    <cellStyle name="Normal 7 3 4 15" xfId="1092" xr:uid="{00000000-0005-0000-0000-0000C5040000}"/>
    <cellStyle name="Normal 7 3 4 16" xfId="1093" xr:uid="{00000000-0005-0000-0000-0000C6040000}"/>
    <cellStyle name="Normal 7 3 4 17" xfId="1094" xr:uid="{00000000-0005-0000-0000-0000C7040000}"/>
    <cellStyle name="Normal 7 3 4 18" xfId="1095" xr:uid="{00000000-0005-0000-0000-0000C8040000}"/>
    <cellStyle name="Normal 7 3 4 2" xfId="1096" xr:uid="{00000000-0005-0000-0000-0000C9040000}"/>
    <cellStyle name="Normal 7 3 4 3" xfId="1097" xr:uid="{00000000-0005-0000-0000-0000CA040000}"/>
    <cellStyle name="Normal 7 3 4 4" xfId="1098" xr:uid="{00000000-0005-0000-0000-0000CB040000}"/>
    <cellStyle name="Normal 7 3 4 5" xfId="1099" xr:uid="{00000000-0005-0000-0000-0000CC040000}"/>
    <cellStyle name="Normal 7 3 4 6" xfId="1100" xr:uid="{00000000-0005-0000-0000-0000CD040000}"/>
    <cellStyle name="Normal 7 3 4 7" xfId="1101" xr:uid="{00000000-0005-0000-0000-0000CE040000}"/>
    <cellStyle name="Normal 7 3 4 8" xfId="1102" xr:uid="{00000000-0005-0000-0000-0000CF040000}"/>
    <cellStyle name="Normal 7 3 4 9" xfId="1103" xr:uid="{00000000-0005-0000-0000-0000D0040000}"/>
    <cellStyle name="Normal 7 3 5" xfId="1104" xr:uid="{00000000-0005-0000-0000-0000D1040000}"/>
    <cellStyle name="Normal 7 3 5 2" xfId="1105" xr:uid="{00000000-0005-0000-0000-0000D2040000}"/>
    <cellStyle name="Normal 7 3 5 3" xfId="1106" xr:uid="{00000000-0005-0000-0000-0000D3040000}"/>
    <cellStyle name="Normal 7 3 5 4" xfId="1107" xr:uid="{00000000-0005-0000-0000-0000D4040000}"/>
    <cellStyle name="Normal 7 3 5 5" xfId="1108" xr:uid="{00000000-0005-0000-0000-0000D5040000}"/>
    <cellStyle name="Normal 7 3 6" xfId="1109" xr:uid="{00000000-0005-0000-0000-0000D6040000}"/>
    <cellStyle name="Normal 7 3 7" xfId="1110" xr:uid="{00000000-0005-0000-0000-0000D7040000}"/>
    <cellStyle name="Normal 7 3 8" xfId="1111" xr:uid="{00000000-0005-0000-0000-0000D8040000}"/>
    <cellStyle name="Normal 7 3 9" xfId="1112" xr:uid="{00000000-0005-0000-0000-0000D9040000}"/>
    <cellStyle name="Normal 7 4" xfId="1113" xr:uid="{00000000-0005-0000-0000-0000DA040000}"/>
    <cellStyle name="Normal 7 4 10" xfId="1114" xr:uid="{00000000-0005-0000-0000-0000DB040000}"/>
    <cellStyle name="Normal 7 4 11" xfId="1115" xr:uid="{00000000-0005-0000-0000-0000DC040000}"/>
    <cellStyle name="Normal 7 4 12" xfId="1116" xr:uid="{00000000-0005-0000-0000-0000DD040000}"/>
    <cellStyle name="Normal 7 4 13" xfId="1117" xr:uid="{00000000-0005-0000-0000-0000DE040000}"/>
    <cellStyle name="Normal 7 4 14" xfId="1118" xr:uid="{00000000-0005-0000-0000-0000DF040000}"/>
    <cellStyle name="Normal 7 4 15" xfId="1119" xr:uid="{00000000-0005-0000-0000-0000E0040000}"/>
    <cellStyle name="Normal 7 4 16" xfId="1120" xr:uid="{00000000-0005-0000-0000-0000E1040000}"/>
    <cellStyle name="Normal 7 4 17" xfId="1121" xr:uid="{00000000-0005-0000-0000-0000E2040000}"/>
    <cellStyle name="Normal 7 4 18" xfId="1122" xr:uid="{00000000-0005-0000-0000-0000E3040000}"/>
    <cellStyle name="Normal 7 4 2" xfId="1123" xr:uid="{00000000-0005-0000-0000-0000E4040000}"/>
    <cellStyle name="Normal 7 4 2 2" xfId="1124" xr:uid="{00000000-0005-0000-0000-0000E5040000}"/>
    <cellStyle name="Normal 7 4 2 3" xfId="1125" xr:uid="{00000000-0005-0000-0000-0000E6040000}"/>
    <cellStyle name="Normal 7 4 2 4" xfId="1126" xr:uid="{00000000-0005-0000-0000-0000E7040000}"/>
    <cellStyle name="Normal 7 4 2 5" xfId="1127" xr:uid="{00000000-0005-0000-0000-0000E8040000}"/>
    <cellStyle name="Normal 7 4 3" xfId="1128" xr:uid="{00000000-0005-0000-0000-0000E9040000}"/>
    <cellStyle name="Normal 7 4 3 2" xfId="1129" xr:uid="{00000000-0005-0000-0000-0000EA040000}"/>
    <cellStyle name="Normal 7 4 3 3" xfId="1130" xr:uid="{00000000-0005-0000-0000-0000EB040000}"/>
    <cellStyle name="Normal 7 4 3 4" xfId="1131" xr:uid="{00000000-0005-0000-0000-0000EC040000}"/>
    <cellStyle name="Normal 7 4 3 5" xfId="1132" xr:uid="{00000000-0005-0000-0000-0000ED040000}"/>
    <cellStyle name="Normal 7 4 4" xfId="1133" xr:uid="{00000000-0005-0000-0000-0000EE040000}"/>
    <cellStyle name="Normal 7 4 5" xfId="1134" xr:uid="{00000000-0005-0000-0000-0000EF040000}"/>
    <cellStyle name="Normal 7 4 6" xfId="1135" xr:uid="{00000000-0005-0000-0000-0000F0040000}"/>
    <cellStyle name="Normal 7 4 7" xfId="1136" xr:uid="{00000000-0005-0000-0000-0000F1040000}"/>
    <cellStyle name="Normal 7 4 8" xfId="1137" xr:uid="{00000000-0005-0000-0000-0000F2040000}"/>
    <cellStyle name="Normal 7 4 9" xfId="1138" xr:uid="{00000000-0005-0000-0000-0000F3040000}"/>
    <cellStyle name="Normal 7 5" xfId="1139" xr:uid="{00000000-0005-0000-0000-0000F4040000}"/>
    <cellStyle name="Normal 7 5 2" xfId="1140" xr:uid="{00000000-0005-0000-0000-0000F5040000}"/>
    <cellStyle name="Normal 7 5 3" xfId="1141" xr:uid="{00000000-0005-0000-0000-0000F6040000}"/>
    <cellStyle name="Normal 7 5 4" xfId="1142" xr:uid="{00000000-0005-0000-0000-0000F7040000}"/>
    <cellStyle name="Normal 7 5 5" xfId="1143" xr:uid="{00000000-0005-0000-0000-0000F8040000}"/>
    <cellStyle name="Normal 7 6" xfId="1144" xr:uid="{00000000-0005-0000-0000-0000F9040000}"/>
    <cellStyle name="Normal 7 6 2" xfId="1145" xr:uid="{00000000-0005-0000-0000-0000FA040000}"/>
    <cellStyle name="Normal 7 6 3" xfId="1146" xr:uid="{00000000-0005-0000-0000-0000FB040000}"/>
    <cellStyle name="Normal 7 6 4" xfId="1147" xr:uid="{00000000-0005-0000-0000-0000FC040000}"/>
    <cellStyle name="Normal 7 6 5" xfId="1148" xr:uid="{00000000-0005-0000-0000-0000FD040000}"/>
    <cellStyle name="Normal 7 7" xfId="1149" xr:uid="{00000000-0005-0000-0000-0000FE040000}"/>
    <cellStyle name="Normal 7 8" xfId="1150" xr:uid="{00000000-0005-0000-0000-0000FF040000}"/>
    <cellStyle name="Normal 7 9" xfId="1151" xr:uid="{00000000-0005-0000-0000-000000050000}"/>
    <cellStyle name="Normal 8" xfId="1152" xr:uid="{00000000-0005-0000-0000-000001050000}"/>
    <cellStyle name="Normal 8 2" xfId="1153" xr:uid="{00000000-0005-0000-0000-000002050000}"/>
    <cellStyle name="Normal 8 3" xfId="1154" xr:uid="{00000000-0005-0000-0000-000003050000}"/>
    <cellStyle name="Normal 9" xfId="1155" xr:uid="{00000000-0005-0000-0000-000004050000}"/>
    <cellStyle name="Notas 2" xfId="1156" xr:uid="{00000000-0005-0000-0000-000005050000}"/>
    <cellStyle name="Notas 2 10" xfId="1157" xr:uid="{00000000-0005-0000-0000-000006050000}"/>
    <cellStyle name="Notas 2 10 2" xfId="1158" xr:uid="{00000000-0005-0000-0000-000007050000}"/>
    <cellStyle name="Notas 2 10 2 2" xfId="1482" xr:uid="{00000000-0005-0000-0000-000008050000}"/>
    <cellStyle name="Notas 2 10 2 3" xfId="1483" xr:uid="{00000000-0005-0000-0000-000009050000}"/>
    <cellStyle name="Notas 2 10 2 4" xfId="1484" xr:uid="{00000000-0005-0000-0000-00000A050000}"/>
    <cellStyle name="Notas 2 10 3" xfId="1159" xr:uid="{00000000-0005-0000-0000-00000B050000}"/>
    <cellStyle name="Notas 2 11" xfId="1160" xr:uid="{00000000-0005-0000-0000-00000C050000}"/>
    <cellStyle name="Notas 2 11 2" xfId="1161" xr:uid="{00000000-0005-0000-0000-00000D050000}"/>
    <cellStyle name="Notas 2 11 2 2" xfId="1485" xr:uid="{00000000-0005-0000-0000-00000E050000}"/>
    <cellStyle name="Notas 2 11 2 3" xfId="1486" xr:uid="{00000000-0005-0000-0000-00000F050000}"/>
    <cellStyle name="Notas 2 11 2 4" xfId="1487" xr:uid="{00000000-0005-0000-0000-000010050000}"/>
    <cellStyle name="Notas 2 11 3" xfId="1162" xr:uid="{00000000-0005-0000-0000-000011050000}"/>
    <cellStyle name="Notas 2 12" xfId="1163" xr:uid="{00000000-0005-0000-0000-000012050000}"/>
    <cellStyle name="Notas 2 12 2" xfId="1164" xr:uid="{00000000-0005-0000-0000-000013050000}"/>
    <cellStyle name="Notas 2 12 2 2" xfId="1488" xr:uid="{00000000-0005-0000-0000-000014050000}"/>
    <cellStyle name="Notas 2 12 2 3" xfId="1489" xr:uid="{00000000-0005-0000-0000-000015050000}"/>
    <cellStyle name="Notas 2 12 2 4" xfId="1490" xr:uid="{00000000-0005-0000-0000-000016050000}"/>
    <cellStyle name="Notas 2 12 3" xfId="1165" xr:uid="{00000000-0005-0000-0000-000017050000}"/>
    <cellStyle name="Notas 2 13" xfId="1166" xr:uid="{00000000-0005-0000-0000-000018050000}"/>
    <cellStyle name="Notas 2 13 2" xfId="1167" xr:uid="{00000000-0005-0000-0000-000019050000}"/>
    <cellStyle name="Notas 2 13 2 2" xfId="1491" xr:uid="{00000000-0005-0000-0000-00001A050000}"/>
    <cellStyle name="Notas 2 13 2 3" xfId="1492" xr:uid="{00000000-0005-0000-0000-00001B050000}"/>
    <cellStyle name="Notas 2 13 2 4" xfId="1493" xr:uid="{00000000-0005-0000-0000-00001C050000}"/>
    <cellStyle name="Notas 2 13 3" xfId="1168" xr:uid="{00000000-0005-0000-0000-00001D050000}"/>
    <cellStyle name="Notas 2 14" xfId="1169" xr:uid="{00000000-0005-0000-0000-00001E050000}"/>
    <cellStyle name="Notas 2 14 2" xfId="1170" xr:uid="{00000000-0005-0000-0000-00001F050000}"/>
    <cellStyle name="Notas 2 14 2 2" xfId="1494" xr:uid="{00000000-0005-0000-0000-000020050000}"/>
    <cellStyle name="Notas 2 14 2 3" xfId="1495" xr:uid="{00000000-0005-0000-0000-000021050000}"/>
    <cellStyle name="Notas 2 14 2 4" xfId="1496" xr:uid="{00000000-0005-0000-0000-000022050000}"/>
    <cellStyle name="Notas 2 14 3" xfId="1171" xr:uid="{00000000-0005-0000-0000-000023050000}"/>
    <cellStyle name="Notas 2 15" xfId="1172" xr:uid="{00000000-0005-0000-0000-000024050000}"/>
    <cellStyle name="Notas 2 15 2" xfId="1173" xr:uid="{00000000-0005-0000-0000-000025050000}"/>
    <cellStyle name="Notas 2 15 2 2" xfId="1497" xr:uid="{00000000-0005-0000-0000-000026050000}"/>
    <cellStyle name="Notas 2 15 2 3" xfId="1498" xr:uid="{00000000-0005-0000-0000-000027050000}"/>
    <cellStyle name="Notas 2 15 2 4" xfId="1499" xr:uid="{00000000-0005-0000-0000-000028050000}"/>
    <cellStyle name="Notas 2 15 3" xfId="1174" xr:uid="{00000000-0005-0000-0000-000029050000}"/>
    <cellStyle name="Notas 2 16" xfId="1175" xr:uid="{00000000-0005-0000-0000-00002A050000}"/>
    <cellStyle name="Notas 2 16 2" xfId="1176" xr:uid="{00000000-0005-0000-0000-00002B050000}"/>
    <cellStyle name="Notas 2 16 2 2" xfId="1500" xr:uid="{00000000-0005-0000-0000-00002C050000}"/>
    <cellStyle name="Notas 2 16 2 3" xfId="1501" xr:uid="{00000000-0005-0000-0000-00002D050000}"/>
    <cellStyle name="Notas 2 16 2 4" xfId="1502" xr:uid="{00000000-0005-0000-0000-00002E050000}"/>
    <cellStyle name="Notas 2 16 3" xfId="1177" xr:uid="{00000000-0005-0000-0000-00002F050000}"/>
    <cellStyle name="Notas 2 17" xfId="1178" xr:uid="{00000000-0005-0000-0000-000030050000}"/>
    <cellStyle name="Notas 2 17 2" xfId="1179" xr:uid="{00000000-0005-0000-0000-000031050000}"/>
    <cellStyle name="Notas 2 17 2 2" xfId="1503" xr:uid="{00000000-0005-0000-0000-000032050000}"/>
    <cellStyle name="Notas 2 17 2 3" xfId="1504" xr:uid="{00000000-0005-0000-0000-000033050000}"/>
    <cellStyle name="Notas 2 17 2 4" xfId="1505" xr:uid="{00000000-0005-0000-0000-000034050000}"/>
    <cellStyle name="Notas 2 17 3" xfId="1180" xr:uid="{00000000-0005-0000-0000-000035050000}"/>
    <cellStyle name="Notas 2 18" xfId="1181" xr:uid="{00000000-0005-0000-0000-000036050000}"/>
    <cellStyle name="Notas 2 18 2" xfId="1182" xr:uid="{00000000-0005-0000-0000-000037050000}"/>
    <cellStyle name="Notas 2 18 2 2" xfId="1506" xr:uid="{00000000-0005-0000-0000-000038050000}"/>
    <cellStyle name="Notas 2 18 2 3" xfId="1507" xr:uid="{00000000-0005-0000-0000-000039050000}"/>
    <cellStyle name="Notas 2 18 2 4" xfId="1508" xr:uid="{00000000-0005-0000-0000-00003A050000}"/>
    <cellStyle name="Notas 2 18 3" xfId="1183" xr:uid="{00000000-0005-0000-0000-00003B050000}"/>
    <cellStyle name="Notas 2 19" xfId="1184" xr:uid="{00000000-0005-0000-0000-00003C050000}"/>
    <cellStyle name="Notas 2 19 2" xfId="1509" xr:uid="{00000000-0005-0000-0000-00003D050000}"/>
    <cellStyle name="Notas 2 19 3" xfId="1510" xr:uid="{00000000-0005-0000-0000-00003E050000}"/>
    <cellStyle name="Notas 2 19 4" xfId="1511" xr:uid="{00000000-0005-0000-0000-00003F050000}"/>
    <cellStyle name="Notas 2 2" xfId="1185" xr:uid="{00000000-0005-0000-0000-000040050000}"/>
    <cellStyle name="Notas 2 2 2" xfId="1186" xr:uid="{00000000-0005-0000-0000-000041050000}"/>
    <cellStyle name="Notas 2 2 2 2" xfId="1512" xr:uid="{00000000-0005-0000-0000-000042050000}"/>
    <cellStyle name="Notas 2 2 2 3" xfId="1513" xr:uid="{00000000-0005-0000-0000-000043050000}"/>
    <cellStyle name="Notas 2 2 2 4" xfId="1514" xr:uid="{00000000-0005-0000-0000-000044050000}"/>
    <cellStyle name="Notas 2 2 3" xfId="1187" xr:uid="{00000000-0005-0000-0000-000045050000}"/>
    <cellStyle name="Notas 2 20" xfId="1188" xr:uid="{00000000-0005-0000-0000-000046050000}"/>
    <cellStyle name="Notas 2 3" xfId="1189" xr:uid="{00000000-0005-0000-0000-000047050000}"/>
    <cellStyle name="Notas 2 3 2" xfId="1190" xr:uid="{00000000-0005-0000-0000-000048050000}"/>
    <cellStyle name="Notas 2 3 2 2" xfId="1515" xr:uid="{00000000-0005-0000-0000-000049050000}"/>
    <cellStyle name="Notas 2 3 2 3" xfId="1516" xr:uid="{00000000-0005-0000-0000-00004A050000}"/>
    <cellStyle name="Notas 2 3 2 4" xfId="1517" xr:uid="{00000000-0005-0000-0000-00004B050000}"/>
    <cellStyle name="Notas 2 3 3" xfId="1191" xr:uid="{00000000-0005-0000-0000-00004C050000}"/>
    <cellStyle name="Notas 2 4" xfId="1192" xr:uid="{00000000-0005-0000-0000-00004D050000}"/>
    <cellStyle name="Notas 2 4 2" xfId="1193" xr:uid="{00000000-0005-0000-0000-00004E050000}"/>
    <cellStyle name="Notas 2 4 2 2" xfId="1518" xr:uid="{00000000-0005-0000-0000-00004F050000}"/>
    <cellStyle name="Notas 2 4 2 3" xfId="1519" xr:uid="{00000000-0005-0000-0000-000050050000}"/>
    <cellStyle name="Notas 2 4 2 4" xfId="1520" xr:uid="{00000000-0005-0000-0000-000051050000}"/>
    <cellStyle name="Notas 2 4 3" xfId="1194" xr:uid="{00000000-0005-0000-0000-000052050000}"/>
    <cellStyle name="Notas 2 5" xfId="1195" xr:uid="{00000000-0005-0000-0000-000053050000}"/>
    <cellStyle name="Notas 2 5 2" xfId="1196" xr:uid="{00000000-0005-0000-0000-000054050000}"/>
    <cellStyle name="Notas 2 5 2 2" xfId="1521" xr:uid="{00000000-0005-0000-0000-000055050000}"/>
    <cellStyle name="Notas 2 5 2 3" xfId="1522" xr:uid="{00000000-0005-0000-0000-000056050000}"/>
    <cellStyle name="Notas 2 5 2 4" xfId="1523" xr:uid="{00000000-0005-0000-0000-000057050000}"/>
    <cellStyle name="Notas 2 5 3" xfId="1197" xr:uid="{00000000-0005-0000-0000-000058050000}"/>
    <cellStyle name="Notas 2 6" xfId="1198" xr:uid="{00000000-0005-0000-0000-000059050000}"/>
    <cellStyle name="Notas 2 6 2" xfId="1199" xr:uid="{00000000-0005-0000-0000-00005A050000}"/>
    <cellStyle name="Notas 2 6 2 2" xfId="1524" xr:uid="{00000000-0005-0000-0000-00005B050000}"/>
    <cellStyle name="Notas 2 6 2 3" xfId="1525" xr:uid="{00000000-0005-0000-0000-00005C050000}"/>
    <cellStyle name="Notas 2 6 2 4" xfId="1526" xr:uid="{00000000-0005-0000-0000-00005D050000}"/>
    <cellStyle name="Notas 2 6 3" xfId="1200" xr:uid="{00000000-0005-0000-0000-00005E050000}"/>
    <cellStyle name="Notas 2 7" xfId="1201" xr:uid="{00000000-0005-0000-0000-00005F050000}"/>
    <cellStyle name="Notas 2 7 2" xfId="1202" xr:uid="{00000000-0005-0000-0000-000060050000}"/>
    <cellStyle name="Notas 2 7 2 2" xfId="1527" xr:uid="{00000000-0005-0000-0000-000061050000}"/>
    <cellStyle name="Notas 2 7 2 3" xfId="1528" xr:uid="{00000000-0005-0000-0000-000062050000}"/>
    <cellStyle name="Notas 2 7 2 4" xfId="1529" xr:uid="{00000000-0005-0000-0000-000063050000}"/>
    <cellStyle name="Notas 2 7 3" xfId="1203" xr:uid="{00000000-0005-0000-0000-000064050000}"/>
    <cellStyle name="Notas 2 8" xfId="1204" xr:uid="{00000000-0005-0000-0000-000065050000}"/>
    <cellStyle name="Notas 2 8 2" xfId="1205" xr:uid="{00000000-0005-0000-0000-000066050000}"/>
    <cellStyle name="Notas 2 8 2 2" xfId="1530" xr:uid="{00000000-0005-0000-0000-000067050000}"/>
    <cellStyle name="Notas 2 8 2 3" xfId="1531" xr:uid="{00000000-0005-0000-0000-000068050000}"/>
    <cellStyle name="Notas 2 8 2 4" xfId="1532" xr:uid="{00000000-0005-0000-0000-000069050000}"/>
    <cellStyle name="Notas 2 8 3" xfId="1206" xr:uid="{00000000-0005-0000-0000-00006A050000}"/>
    <cellStyle name="Notas 2 9" xfId="1207" xr:uid="{00000000-0005-0000-0000-00006B050000}"/>
    <cellStyle name="Notas 2 9 2" xfId="1208" xr:uid="{00000000-0005-0000-0000-00006C050000}"/>
    <cellStyle name="Notas 2 9 2 2" xfId="1533" xr:uid="{00000000-0005-0000-0000-00006D050000}"/>
    <cellStyle name="Notas 2 9 2 3" xfId="1534" xr:uid="{00000000-0005-0000-0000-00006E050000}"/>
    <cellStyle name="Notas 2 9 2 4" xfId="1535" xr:uid="{00000000-0005-0000-0000-00006F050000}"/>
    <cellStyle name="Notas 2 9 3" xfId="1209" xr:uid="{00000000-0005-0000-0000-000070050000}"/>
    <cellStyle name="Porcentaje 2" xfId="1210" xr:uid="{00000000-0005-0000-0000-000071050000}"/>
    <cellStyle name="Porcentaje 3" xfId="1652" xr:uid="{00000000-0005-0000-0000-000072050000}"/>
    <cellStyle name="Porcentual 2" xfId="1211" xr:uid="{00000000-0005-0000-0000-000073050000}"/>
    <cellStyle name="Porcentual 2 10" xfId="1212" xr:uid="{00000000-0005-0000-0000-000074050000}"/>
    <cellStyle name="Porcentual 2 11" xfId="1213" xr:uid="{00000000-0005-0000-0000-000075050000}"/>
    <cellStyle name="Porcentual 2 12" xfId="1214" xr:uid="{00000000-0005-0000-0000-000076050000}"/>
    <cellStyle name="Porcentual 2 13" xfId="1215" xr:uid="{00000000-0005-0000-0000-000077050000}"/>
    <cellStyle name="Porcentual 2 14" xfId="1216" xr:uid="{00000000-0005-0000-0000-000078050000}"/>
    <cellStyle name="Porcentual 2 15" xfId="1217" xr:uid="{00000000-0005-0000-0000-000079050000}"/>
    <cellStyle name="Porcentual 2 16" xfId="1218" xr:uid="{00000000-0005-0000-0000-00007A050000}"/>
    <cellStyle name="Porcentual 2 17" xfId="1219" xr:uid="{00000000-0005-0000-0000-00007B050000}"/>
    <cellStyle name="Porcentual 2 18" xfId="1220" xr:uid="{00000000-0005-0000-0000-00007C050000}"/>
    <cellStyle name="Porcentual 2 19" xfId="1221" xr:uid="{00000000-0005-0000-0000-00007D050000}"/>
    <cellStyle name="Porcentual 2 2" xfId="1222" xr:uid="{00000000-0005-0000-0000-00007E050000}"/>
    <cellStyle name="Porcentual 2 20" xfId="1223" xr:uid="{00000000-0005-0000-0000-00007F050000}"/>
    <cellStyle name="Porcentual 2 21" xfId="1224" xr:uid="{00000000-0005-0000-0000-000080050000}"/>
    <cellStyle name="Porcentual 2 22" xfId="1225" xr:uid="{00000000-0005-0000-0000-000081050000}"/>
    <cellStyle name="Porcentual 2 23" xfId="1226" xr:uid="{00000000-0005-0000-0000-000082050000}"/>
    <cellStyle name="Porcentual 2 24" xfId="1227" xr:uid="{00000000-0005-0000-0000-000083050000}"/>
    <cellStyle name="Porcentual 2 25" xfId="1228" xr:uid="{00000000-0005-0000-0000-000084050000}"/>
    <cellStyle name="Porcentual 2 26" xfId="1229" xr:uid="{00000000-0005-0000-0000-000085050000}"/>
    <cellStyle name="Porcentual 2 27" xfId="1230" xr:uid="{00000000-0005-0000-0000-000086050000}"/>
    <cellStyle name="Porcentual 2 28" xfId="1231" xr:uid="{00000000-0005-0000-0000-000087050000}"/>
    <cellStyle name="Porcentual 2 29" xfId="1232" xr:uid="{00000000-0005-0000-0000-000088050000}"/>
    <cellStyle name="Porcentual 2 3" xfId="1233" xr:uid="{00000000-0005-0000-0000-000089050000}"/>
    <cellStyle name="Porcentual 2 30" xfId="1234" xr:uid="{00000000-0005-0000-0000-00008A050000}"/>
    <cellStyle name="Porcentual 2 31" xfId="1235" xr:uid="{00000000-0005-0000-0000-00008B050000}"/>
    <cellStyle name="Porcentual 2 32" xfId="1236" xr:uid="{00000000-0005-0000-0000-00008C050000}"/>
    <cellStyle name="Porcentual 2 4" xfId="1237" xr:uid="{00000000-0005-0000-0000-00008D050000}"/>
    <cellStyle name="Porcentual 2 5" xfId="1238" xr:uid="{00000000-0005-0000-0000-00008E050000}"/>
    <cellStyle name="Porcentual 2 6" xfId="1239" xr:uid="{00000000-0005-0000-0000-00008F050000}"/>
    <cellStyle name="Porcentual 2 7" xfId="1240" xr:uid="{00000000-0005-0000-0000-000090050000}"/>
    <cellStyle name="Porcentual 2 8" xfId="1241" xr:uid="{00000000-0005-0000-0000-000091050000}"/>
    <cellStyle name="Porcentual 2 9" xfId="1242" xr:uid="{00000000-0005-0000-0000-000092050000}"/>
    <cellStyle name="Porcentual 3" xfId="1243" xr:uid="{00000000-0005-0000-0000-000093050000}"/>
    <cellStyle name="Porcentual 3 2" xfId="1244" xr:uid="{00000000-0005-0000-0000-000094050000}"/>
    <cellStyle name="Porcentual 3 3" xfId="1245" xr:uid="{00000000-0005-0000-0000-000095050000}"/>
    <cellStyle name="Porcentual 3 4" xfId="1246" xr:uid="{00000000-0005-0000-0000-000096050000}"/>
    <cellStyle name="Porcentual 3 5" xfId="1247" xr:uid="{00000000-0005-0000-0000-000097050000}"/>
    <cellStyle name="Porcentual 3 6" xfId="1248" xr:uid="{00000000-0005-0000-0000-000098050000}"/>
    <cellStyle name="Porcentual 4" xfId="1249" xr:uid="{00000000-0005-0000-0000-000099050000}"/>
    <cellStyle name="Porcentual 4 2" xfId="1250" xr:uid="{00000000-0005-0000-0000-00009A050000}"/>
    <cellStyle name="Porcentual 4 3" xfId="1251" xr:uid="{00000000-0005-0000-0000-00009B050000}"/>
    <cellStyle name="Salida 2" xfId="1252" xr:uid="{00000000-0005-0000-0000-00009C050000}"/>
    <cellStyle name="Salida 2 10" xfId="1253" xr:uid="{00000000-0005-0000-0000-00009D050000}"/>
    <cellStyle name="Salida 2 10 2" xfId="1254" xr:uid="{00000000-0005-0000-0000-00009E050000}"/>
    <cellStyle name="Salida 2 10 2 2" xfId="1536" xr:uid="{00000000-0005-0000-0000-00009F050000}"/>
    <cellStyle name="Salida 2 10 2 3" xfId="1537" xr:uid="{00000000-0005-0000-0000-0000A0050000}"/>
    <cellStyle name="Salida 2 10 2 4" xfId="1538" xr:uid="{00000000-0005-0000-0000-0000A1050000}"/>
    <cellStyle name="Salida 2 10 3" xfId="1255" xr:uid="{00000000-0005-0000-0000-0000A2050000}"/>
    <cellStyle name="Salida 2 11" xfId="1256" xr:uid="{00000000-0005-0000-0000-0000A3050000}"/>
    <cellStyle name="Salida 2 11 2" xfId="1257" xr:uid="{00000000-0005-0000-0000-0000A4050000}"/>
    <cellStyle name="Salida 2 11 2 2" xfId="1539" xr:uid="{00000000-0005-0000-0000-0000A5050000}"/>
    <cellStyle name="Salida 2 11 2 3" xfId="1540" xr:uid="{00000000-0005-0000-0000-0000A6050000}"/>
    <cellStyle name="Salida 2 11 2 4" xfId="1541" xr:uid="{00000000-0005-0000-0000-0000A7050000}"/>
    <cellStyle name="Salida 2 11 3" xfId="1258" xr:uid="{00000000-0005-0000-0000-0000A8050000}"/>
    <cellStyle name="Salida 2 12" xfId="1259" xr:uid="{00000000-0005-0000-0000-0000A9050000}"/>
    <cellStyle name="Salida 2 12 2" xfId="1260" xr:uid="{00000000-0005-0000-0000-0000AA050000}"/>
    <cellStyle name="Salida 2 12 2 2" xfId="1542" xr:uid="{00000000-0005-0000-0000-0000AB050000}"/>
    <cellStyle name="Salida 2 12 2 3" xfId="1543" xr:uid="{00000000-0005-0000-0000-0000AC050000}"/>
    <cellStyle name="Salida 2 12 2 4" xfId="1544" xr:uid="{00000000-0005-0000-0000-0000AD050000}"/>
    <cellStyle name="Salida 2 12 3" xfId="1261" xr:uid="{00000000-0005-0000-0000-0000AE050000}"/>
    <cellStyle name="Salida 2 13" xfId="1262" xr:uid="{00000000-0005-0000-0000-0000AF050000}"/>
    <cellStyle name="Salida 2 13 2" xfId="1263" xr:uid="{00000000-0005-0000-0000-0000B0050000}"/>
    <cellStyle name="Salida 2 13 2 2" xfId="1545" xr:uid="{00000000-0005-0000-0000-0000B1050000}"/>
    <cellStyle name="Salida 2 13 2 3" xfId="1546" xr:uid="{00000000-0005-0000-0000-0000B2050000}"/>
    <cellStyle name="Salida 2 13 2 4" xfId="1547" xr:uid="{00000000-0005-0000-0000-0000B3050000}"/>
    <cellStyle name="Salida 2 13 3" xfId="1264" xr:uid="{00000000-0005-0000-0000-0000B4050000}"/>
    <cellStyle name="Salida 2 14" xfId="1265" xr:uid="{00000000-0005-0000-0000-0000B5050000}"/>
    <cellStyle name="Salida 2 14 2" xfId="1266" xr:uid="{00000000-0005-0000-0000-0000B6050000}"/>
    <cellStyle name="Salida 2 14 2 2" xfId="1548" xr:uid="{00000000-0005-0000-0000-0000B7050000}"/>
    <cellStyle name="Salida 2 14 2 3" xfId="1549" xr:uid="{00000000-0005-0000-0000-0000B8050000}"/>
    <cellStyle name="Salida 2 14 2 4" xfId="1550" xr:uid="{00000000-0005-0000-0000-0000B9050000}"/>
    <cellStyle name="Salida 2 14 3" xfId="1267" xr:uid="{00000000-0005-0000-0000-0000BA050000}"/>
    <cellStyle name="Salida 2 15" xfId="1268" xr:uid="{00000000-0005-0000-0000-0000BB050000}"/>
    <cellStyle name="Salida 2 15 2" xfId="1269" xr:uid="{00000000-0005-0000-0000-0000BC050000}"/>
    <cellStyle name="Salida 2 15 2 2" xfId="1551" xr:uid="{00000000-0005-0000-0000-0000BD050000}"/>
    <cellStyle name="Salida 2 15 2 3" xfId="1552" xr:uid="{00000000-0005-0000-0000-0000BE050000}"/>
    <cellStyle name="Salida 2 15 2 4" xfId="1553" xr:uid="{00000000-0005-0000-0000-0000BF050000}"/>
    <cellStyle name="Salida 2 15 3" xfId="1270" xr:uid="{00000000-0005-0000-0000-0000C0050000}"/>
    <cellStyle name="Salida 2 16" xfId="1271" xr:uid="{00000000-0005-0000-0000-0000C1050000}"/>
    <cellStyle name="Salida 2 16 2" xfId="1272" xr:uid="{00000000-0005-0000-0000-0000C2050000}"/>
    <cellStyle name="Salida 2 16 2 2" xfId="1554" xr:uid="{00000000-0005-0000-0000-0000C3050000}"/>
    <cellStyle name="Salida 2 16 2 3" xfId="1555" xr:uid="{00000000-0005-0000-0000-0000C4050000}"/>
    <cellStyle name="Salida 2 16 2 4" xfId="1556" xr:uid="{00000000-0005-0000-0000-0000C5050000}"/>
    <cellStyle name="Salida 2 16 3" xfId="1273" xr:uid="{00000000-0005-0000-0000-0000C6050000}"/>
    <cellStyle name="Salida 2 17" xfId="1274" xr:uid="{00000000-0005-0000-0000-0000C7050000}"/>
    <cellStyle name="Salida 2 17 2" xfId="1275" xr:uid="{00000000-0005-0000-0000-0000C8050000}"/>
    <cellStyle name="Salida 2 17 2 2" xfId="1557" xr:uid="{00000000-0005-0000-0000-0000C9050000}"/>
    <cellStyle name="Salida 2 17 2 3" xfId="1558" xr:uid="{00000000-0005-0000-0000-0000CA050000}"/>
    <cellStyle name="Salida 2 17 2 4" xfId="1559" xr:uid="{00000000-0005-0000-0000-0000CB050000}"/>
    <cellStyle name="Salida 2 17 3" xfId="1276" xr:uid="{00000000-0005-0000-0000-0000CC050000}"/>
    <cellStyle name="Salida 2 18" xfId="1277" xr:uid="{00000000-0005-0000-0000-0000CD050000}"/>
    <cellStyle name="Salida 2 18 2" xfId="1278" xr:uid="{00000000-0005-0000-0000-0000CE050000}"/>
    <cellStyle name="Salida 2 18 2 2" xfId="1560" xr:uid="{00000000-0005-0000-0000-0000CF050000}"/>
    <cellStyle name="Salida 2 18 2 3" xfId="1561" xr:uid="{00000000-0005-0000-0000-0000D0050000}"/>
    <cellStyle name="Salida 2 18 2 4" xfId="1562" xr:uid="{00000000-0005-0000-0000-0000D1050000}"/>
    <cellStyle name="Salida 2 18 3" xfId="1279" xr:uid="{00000000-0005-0000-0000-0000D2050000}"/>
    <cellStyle name="Salida 2 19" xfId="1280" xr:uid="{00000000-0005-0000-0000-0000D3050000}"/>
    <cellStyle name="Salida 2 19 2" xfId="1563" xr:uid="{00000000-0005-0000-0000-0000D4050000}"/>
    <cellStyle name="Salida 2 19 3" xfId="1564" xr:uid="{00000000-0005-0000-0000-0000D5050000}"/>
    <cellStyle name="Salida 2 19 4" xfId="1565" xr:uid="{00000000-0005-0000-0000-0000D6050000}"/>
    <cellStyle name="Salida 2 2" xfId="1281" xr:uid="{00000000-0005-0000-0000-0000D7050000}"/>
    <cellStyle name="Salida 2 2 2" xfId="1282" xr:uid="{00000000-0005-0000-0000-0000D8050000}"/>
    <cellStyle name="Salida 2 2 2 2" xfId="1566" xr:uid="{00000000-0005-0000-0000-0000D9050000}"/>
    <cellStyle name="Salida 2 2 2 3" xfId="1567" xr:uid="{00000000-0005-0000-0000-0000DA050000}"/>
    <cellStyle name="Salida 2 2 2 4" xfId="1568" xr:uid="{00000000-0005-0000-0000-0000DB050000}"/>
    <cellStyle name="Salida 2 2 3" xfId="1283" xr:uid="{00000000-0005-0000-0000-0000DC050000}"/>
    <cellStyle name="Salida 2 20" xfId="1284" xr:uid="{00000000-0005-0000-0000-0000DD050000}"/>
    <cellStyle name="Salida 2 3" xfId="1285" xr:uid="{00000000-0005-0000-0000-0000DE050000}"/>
    <cellStyle name="Salida 2 3 2" xfId="1286" xr:uid="{00000000-0005-0000-0000-0000DF050000}"/>
    <cellStyle name="Salida 2 3 2 2" xfId="1569" xr:uid="{00000000-0005-0000-0000-0000E0050000}"/>
    <cellStyle name="Salida 2 3 2 3" xfId="1570" xr:uid="{00000000-0005-0000-0000-0000E1050000}"/>
    <cellStyle name="Salida 2 3 2 4" xfId="1571" xr:uid="{00000000-0005-0000-0000-0000E2050000}"/>
    <cellStyle name="Salida 2 3 3" xfId="1287" xr:uid="{00000000-0005-0000-0000-0000E3050000}"/>
    <cellStyle name="Salida 2 4" xfId="1288" xr:uid="{00000000-0005-0000-0000-0000E4050000}"/>
    <cellStyle name="Salida 2 4 2" xfId="1289" xr:uid="{00000000-0005-0000-0000-0000E5050000}"/>
    <cellStyle name="Salida 2 4 2 2" xfId="1572" xr:uid="{00000000-0005-0000-0000-0000E6050000}"/>
    <cellStyle name="Salida 2 4 2 3" xfId="1573" xr:uid="{00000000-0005-0000-0000-0000E7050000}"/>
    <cellStyle name="Salida 2 4 2 4" xfId="1574" xr:uid="{00000000-0005-0000-0000-0000E8050000}"/>
    <cellStyle name="Salida 2 4 3" xfId="1290" xr:uid="{00000000-0005-0000-0000-0000E9050000}"/>
    <cellStyle name="Salida 2 5" xfId="1291" xr:uid="{00000000-0005-0000-0000-0000EA050000}"/>
    <cellStyle name="Salida 2 5 2" xfId="1292" xr:uid="{00000000-0005-0000-0000-0000EB050000}"/>
    <cellStyle name="Salida 2 5 2 2" xfId="1575" xr:uid="{00000000-0005-0000-0000-0000EC050000}"/>
    <cellStyle name="Salida 2 5 2 3" xfId="1576" xr:uid="{00000000-0005-0000-0000-0000ED050000}"/>
    <cellStyle name="Salida 2 5 2 4" xfId="1577" xr:uid="{00000000-0005-0000-0000-0000EE050000}"/>
    <cellStyle name="Salida 2 5 3" xfId="1293" xr:uid="{00000000-0005-0000-0000-0000EF050000}"/>
    <cellStyle name="Salida 2 6" xfId="1294" xr:uid="{00000000-0005-0000-0000-0000F0050000}"/>
    <cellStyle name="Salida 2 6 2" xfId="1295" xr:uid="{00000000-0005-0000-0000-0000F1050000}"/>
    <cellStyle name="Salida 2 6 2 2" xfId="1578" xr:uid="{00000000-0005-0000-0000-0000F2050000}"/>
    <cellStyle name="Salida 2 6 2 3" xfId="1579" xr:uid="{00000000-0005-0000-0000-0000F3050000}"/>
    <cellStyle name="Salida 2 6 2 4" xfId="1580" xr:uid="{00000000-0005-0000-0000-0000F4050000}"/>
    <cellStyle name="Salida 2 6 3" xfId="1296" xr:uid="{00000000-0005-0000-0000-0000F5050000}"/>
    <cellStyle name="Salida 2 7" xfId="1297" xr:uid="{00000000-0005-0000-0000-0000F6050000}"/>
    <cellStyle name="Salida 2 7 2" xfId="1298" xr:uid="{00000000-0005-0000-0000-0000F7050000}"/>
    <cellStyle name="Salida 2 7 2 2" xfId="1581" xr:uid="{00000000-0005-0000-0000-0000F8050000}"/>
    <cellStyle name="Salida 2 7 2 3" xfId="1582" xr:uid="{00000000-0005-0000-0000-0000F9050000}"/>
    <cellStyle name="Salida 2 7 2 4" xfId="1583" xr:uid="{00000000-0005-0000-0000-0000FA050000}"/>
    <cellStyle name="Salida 2 7 3" xfId="1299" xr:uid="{00000000-0005-0000-0000-0000FB050000}"/>
    <cellStyle name="Salida 2 8" xfId="1300" xr:uid="{00000000-0005-0000-0000-0000FC050000}"/>
    <cellStyle name="Salida 2 8 2" xfId="1301" xr:uid="{00000000-0005-0000-0000-0000FD050000}"/>
    <cellStyle name="Salida 2 8 2 2" xfId="1584" xr:uid="{00000000-0005-0000-0000-0000FE050000}"/>
    <cellStyle name="Salida 2 8 2 3" xfId="1585" xr:uid="{00000000-0005-0000-0000-0000FF050000}"/>
    <cellStyle name="Salida 2 8 2 4" xfId="1586" xr:uid="{00000000-0005-0000-0000-000000060000}"/>
    <cellStyle name="Salida 2 8 3" xfId="1302" xr:uid="{00000000-0005-0000-0000-000001060000}"/>
    <cellStyle name="Salida 2 9" xfId="1303" xr:uid="{00000000-0005-0000-0000-000002060000}"/>
    <cellStyle name="Salida 2 9 2" xfId="1304" xr:uid="{00000000-0005-0000-0000-000003060000}"/>
    <cellStyle name="Salida 2 9 2 2" xfId="1587" xr:uid="{00000000-0005-0000-0000-000004060000}"/>
    <cellStyle name="Salida 2 9 2 3" xfId="1588" xr:uid="{00000000-0005-0000-0000-000005060000}"/>
    <cellStyle name="Salida 2 9 2 4" xfId="1589" xr:uid="{00000000-0005-0000-0000-000006060000}"/>
    <cellStyle name="Salida 2 9 3" xfId="1305" xr:uid="{00000000-0005-0000-0000-000007060000}"/>
    <cellStyle name="Texto de advertencia 2" xfId="1306" xr:uid="{00000000-0005-0000-0000-000008060000}"/>
    <cellStyle name="Texto explicativo 2" xfId="1307" xr:uid="{00000000-0005-0000-0000-000009060000}"/>
    <cellStyle name="Título 1 2" xfId="1308" xr:uid="{00000000-0005-0000-0000-00000A060000}"/>
    <cellStyle name="Título 2 2" xfId="1309" xr:uid="{00000000-0005-0000-0000-00000B060000}"/>
    <cellStyle name="Título 3 2" xfId="1310" xr:uid="{00000000-0005-0000-0000-00000C060000}"/>
    <cellStyle name="Título 4" xfId="1311" xr:uid="{00000000-0005-0000-0000-00000D060000}"/>
    <cellStyle name="Total 2" xfId="1312" xr:uid="{00000000-0005-0000-0000-00000E060000}"/>
    <cellStyle name="Total 2 10" xfId="1313" xr:uid="{00000000-0005-0000-0000-00000F060000}"/>
    <cellStyle name="Total 2 10 2" xfId="1314" xr:uid="{00000000-0005-0000-0000-000010060000}"/>
    <cellStyle name="Total 2 10 2 2" xfId="1590" xr:uid="{00000000-0005-0000-0000-000011060000}"/>
    <cellStyle name="Total 2 10 2 3" xfId="1591" xr:uid="{00000000-0005-0000-0000-000012060000}"/>
    <cellStyle name="Total 2 10 2 4" xfId="1592" xr:uid="{00000000-0005-0000-0000-000013060000}"/>
    <cellStyle name="Total 2 10 3" xfId="1315" xr:uid="{00000000-0005-0000-0000-000014060000}"/>
    <cellStyle name="Total 2 11" xfId="1316" xr:uid="{00000000-0005-0000-0000-000015060000}"/>
    <cellStyle name="Total 2 11 2" xfId="1317" xr:uid="{00000000-0005-0000-0000-000016060000}"/>
    <cellStyle name="Total 2 11 2 2" xfId="1593" xr:uid="{00000000-0005-0000-0000-000017060000}"/>
    <cellStyle name="Total 2 11 2 3" xfId="1594" xr:uid="{00000000-0005-0000-0000-000018060000}"/>
    <cellStyle name="Total 2 11 2 4" xfId="1595" xr:uid="{00000000-0005-0000-0000-000019060000}"/>
    <cellStyle name="Total 2 11 3" xfId="1318" xr:uid="{00000000-0005-0000-0000-00001A060000}"/>
    <cellStyle name="Total 2 12" xfId="1319" xr:uid="{00000000-0005-0000-0000-00001B060000}"/>
    <cellStyle name="Total 2 12 2" xfId="1320" xr:uid="{00000000-0005-0000-0000-00001C060000}"/>
    <cellStyle name="Total 2 12 2 2" xfId="1596" xr:uid="{00000000-0005-0000-0000-00001D060000}"/>
    <cellStyle name="Total 2 12 2 3" xfId="1597" xr:uid="{00000000-0005-0000-0000-00001E060000}"/>
    <cellStyle name="Total 2 12 2 4" xfId="1598" xr:uid="{00000000-0005-0000-0000-00001F060000}"/>
    <cellStyle name="Total 2 12 3" xfId="1321" xr:uid="{00000000-0005-0000-0000-000020060000}"/>
    <cellStyle name="Total 2 13" xfId="1322" xr:uid="{00000000-0005-0000-0000-000021060000}"/>
    <cellStyle name="Total 2 13 2" xfId="1323" xr:uid="{00000000-0005-0000-0000-000022060000}"/>
    <cellStyle name="Total 2 13 2 2" xfId="1599" xr:uid="{00000000-0005-0000-0000-000023060000}"/>
    <cellStyle name="Total 2 13 2 3" xfId="1600" xr:uid="{00000000-0005-0000-0000-000024060000}"/>
    <cellStyle name="Total 2 13 2 4" xfId="1601" xr:uid="{00000000-0005-0000-0000-000025060000}"/>
    <cellStyle name="Total 2 13 3" xfId="1324" xr:uid="{00000000-0005-0000-0000-000026060000}"/>
    <cellStyle name="Total 2 14" xfId="1325" xr:uid="{00000000-0005-0000-0000-000027060000}"/>
    <cellStyle name="Total 2 14 2" xfId="1326" xr:uid="{00000000-0005-0000-0000-000028060000}"/>
    <cellStyle name="Total 2 14 2 2" xfId="1602" xr:uid="{00000000-0005-0000-0000-000029060000}"/>
    <cellStyle name="Total 2 14 2 3" xfId="1603" xr:uid="{00000000-0005-0000-0000-00002A060000}"/>
    <cellStyle name="Total 2 14 2 4" xfId="1604" xr:uid="{00000000-0005-0000-0000-00002B060000}"/>
    <cellStyle name="Total 2 14 3" xfId="1327" xr:uid="{00000000-0005-0000-0000-00002C060000}"/>
    <cellStyle name="Total 2 15" xfId="1328" xr:uid="{00000000-0005-0000-0000-00002D060000}"/>
    <cellStyle name="Total 2 15 2" xfId="1329" xr:uid="{00000000-0005-0000-0000-00002E060000}"/>
    <cellStyle name="Total 2 15 2 2" xfId="1605" xr:uid="{00000000-0005-0000-0000-00002F060000}"/>
    <cellStyle name="Total 2 15 2 3" xfId="1606" xr:uid="{00000000-0005-0000-0000-000030060000}"/>
    <cellStyle name="Total 2 15 2 4" xfId="1607" xr:uid="{00000000-0005-0000-0000-000031060000}"/>
    <cellStyle name="Total 2 15 3" xfId="1330" xr:uid="{00000000-0005-0000-0000-000032060000}"/>
    <cellStyle name="Total 2 16" xfId="1331" xr:uid="{00000000-0005-0000-0000-000033060000}"/>
    <cellStyle name="Total 2 16 2" xfId="1332" xr:uid="{00000000-0005-0000-0000-000034060000}"/>
    <cellStyle name="Total 2 16 2 2" xfId="1608" xr:uid="{00000000-0005-0000-0000-000035060000}"/>
    <cellStyle name="Total 2 16 2 3" xfId="1609" xr:uid="{00000000-0005-0000-0000-000036060000}"/>
    <cellStyle name="Total 2 16 2 4" xfId="1610" xr:uid="{00000000-0005-0000-0000-000037060000}"/>
    <cellStyle name="Total 2 16 3" xfId="1333" xr:uid="{00000000-0005-0000-0000-000038060000}"/>
    <cellStyle name="Total 2 17" xfId="1334" xr:uid="{00000000-0005-0000-0000-000039060000}"/>
    <cellStyle name="Total 2 17 2" xfId="1335" xr:uid="{00000000-0005-0000-0000-00003A060000}"/>
    <cellStyle name="Total 2 17 2 2" xfId="1611" xr:uid="{00000000-0005-0000-0000-00003B060000}"/>
    <cellStyle name="Total 2 17 2 3" xfId="1612" xr:uid="{00000000-0005-0000-0000-00003C060000}"/>
    <cellStyle name="Total 2 17 2 4" xfId="1613" xr:uid="{00000000-0005-0000-0000-00003D060000}"/>
    <cellStyle name="Total 2 17 3" xfId="1336" xr:uid="{00000000-0005-0000-0000-00003E060000}"/>
    <cellStyle name="Total 2 18" xfId="1337" xr:uid="{00000000-0005-0000-0000-00003F060000}"/>
    <cellStyle name="Total 2 18 2" xfId="1338" xr:uid="{00000000-0005-0000-0000-000040060000}"/>
    <cellStyle name="Total 2 18 2 2" xfId="1614" xr:uid="{00000000-0005-0000-0000-000041060000}"/>
    <cellStyle name="Total 2 18 2 3" xfId="1615" xr:uid="{00000000-0005-0000-0000-000042060000}"/>
    <cellStyle name="Total 2 18 2 4" xfId="1616" xr:uid="{00000000-0005-0000-0000-000043060000}"/>
    <cellStyle name="Total 2 18 3" xfId="1339" xr:uid="{00000000-0005-0000-0000-000044060000}"/>
    <cellStyle name="Total 2 19" xfId="1340" xr:uid="{00000000-0005-0000-0000-000045060000}"/>
    <cellStyle name="Total 2 19 2" xfId="1617" xr:uid="{00000000-0005-0000-0000-000046060000}"/>
    <cellStyle name="Total 2 19 3" xfId="1618" xr:uid="{00000000-0005-0000-0000-000047060000}"/>
    <cellStyle name="Total 2 19 4" xfId="1619" xr:uid="{00000000-0005-0000-0000-000048060000}"/>
    <cellStyle name="Total 2 2" xfId="1341" xr:uid="{00000000-0005-0000-0000-000049060000}"/>
    <cellStyle name="Total 2 2 2" xfId="1342" xr:uid="{00000000-0005-0000-0000-00004A060000}"/>
    <cellStyle name="Total 2 2 2 2" xfId="1620" xr:uid="{00000000-0005-0000-0000-00004B060000}"/>
    <cellStyle name="Total 2 2 2 3" xfId="1621" xr:uid="{00000000-0005-0000-0000-00004C060000}"/>
    <cellStyle name="Total 2 2 2 4" xfId="1622" xr:uid="{00000000-0005-0000-0000-00004D060000}"/>
    <cellStyle name="Total 2 2 3" xfId="1343" xr:uid="{00000000-0005-0000-0000-00004E060000}"/>
    <cellStyle name="Total 2 20" xfId="1344" xr:uid="{00000000-0005-0000-0000-00004F060000}"/>
    <cellStyle name="Total 2 3" xfId="1345" xr:uid="{00000000-0005-0000-0000-000050060000}"/>
    <cellStyle name="Total 2 3 2" xfId="1346" xr:uid="{00000000-0005-0000-0000-000051060000}"/>
    <cellStyle name="Total 2 3 2 2" xfId="1623" xr:uid="{00000000-0005-0000-0000-000052060000}"/>
    <cellStyle name="Total 2 3 2 3" xfId="1624" xr:uid="{00000000-0005-0000-0000-000053060000}"/>
    <cellStyle name="Total 2 3 2 4" xfId="1625" xr:uid="{00000000-0005-0000-0000-000054060000}"/>
    <cellStyle name="Total 2 3 3" xfId="1347" xr:uid="{00000000-0005-0000-0000-000055060000}"/>
    <cellStyle name="Total 2 4" xfId="1348" xr:uid="{00000000-0005-0000-0000-000056060000}"/>
    <cellStyle name="Total 2 4 2" xfId="1349" xr:uid="{00000000-0005-0000-0000-000057060000}"/>
    <cellStyle name="Total 2 4 2 2" xfId="1626" xr:uid="{00000000-0005-0000-0000-000058060000}"/>
    <cellStyle name="Total 2 4 2 3" xfId="1627" xr:uid="{00000000-0005-0000-0000-000059060000}"/>
    <cellStyle name="Total 2 4 2 4" xfId="1628" xr:uid="{00000000-0005-0000-0000-00005A060000}"/>
    <cellStyle name="Total 2 4 3" xfId="1350" xr:uid="{00000000-0005-0000-0000-00005B060000}"/>
    <cellStyle name="Total 2 5" xfId="1351" xr:uid="{00000000-0005-0000-0000-00005C060000}"/>
    <cellStyle name="Total 2 5 2" xfId="1352" xr:uid="{00000000-0005-0000-0000-00005D060000}"/>
    <cellStyle name="Total 2 5 2 2" xfId="1629" xr:uid="{00000000-0005-0000-0000-00005E060000}"/>
    <cellStyle name="Total 2 5 2 3" xfId="1630" xr:uid="{00000000-0005-0000-0000-00005F060000}"/>
    <cellStyle name="Total 2 5 2 4" xfId="1631" xr:uid="{00000000-0005-0000-0000-000060060000}"/>
    <cellStyle name="Total 2 5 3" xfId="1353" xr:uid="{00000000-0005-0000-0000-000061060000}"/>
    <cellStyle name="Total 2 6" xfId="1354" xr:uid="{00000000-0005-0000-0000-000062060000}"/>
    <cellStyle name="Total 2 6 2" xfId="1355" xr:uid="{00000000-0005-0000-0000-000063060000}"/>
    <cellStyle name="Total 2 6 2 2" xfId="1632" xr:uid="{00000000-0005-0000-0000-000064060000}"/>
    <cellStyle name="Total 2 6 2 3" xfId="1633" xr:uid="{00000000-0005-0000-0000-000065060000}"/>
    <cellStyle name="Total 2 6 2 4" xfId="1634" xr:uid="{00000000-0005-0000-0000-000066060000}"/>
    <cellStyle name="Total 2 6 3" xfId="1356" xr:uid="{00000000-0005-0000-0000-000067060000}"/>
    <cellStyle name="Total 2 7" xfId="1357" xr:uid="{00000000-0005-0000-0000-000068060000}"/>
    <cellStyle name="Total 2 7 2" xfId="1358" xr:uid="{00000000-0005-0000-0000-000069060000}"/>
    <cellStyle name="Total 2 7 2 2" xfId="1635" xr:uid="{00000000-0005-0000-0000-00006A060000}"/>
    <cellStyle name="Total 2 7 2 3" xfId="1636" xr:uid="{00000000-0005-0000-0000-00006B060000}"/>
    <cellStyle name="Total 2 7 2 4" xfId="1637" xr:uid="{00000000-0005-0000-0000-00006C060000}"/>
    <cellStyle name="Total 2 7 3" xfId="1359" xr:uid="{00000000-0005-0000-0000-00006D060000}"/>
    <cellStyle name="Total 2 8" xfId="1360" xr:uid="{00000000-0005-0000-0000-00006E060000}"/>
    <cellStyle name="Total 2 8 2" xfId="1361" xr:uid="{00000000-0005-0000-0000-00006F060000}"/>
    <cellStyle name="Total 2 8 2 2" xfId="1638" xr:uid="{00000000-0005-0000-0000-000070060000}"/>
    <cellStyle name="Total 2 8 2 3" xfId="1639" xr:uid="{00000000-0005-0000-0000-000071060000}"/>
    <cellStyle name="Total 2 8 2 4" xfId="1640" xr:uid="{00000000-0005-0000-0000-000072060000}"/>
    <cellStyle name="Total 2 8 3" xfId="1362" xr:uid="{00000000-0005-0000-0000-000073060000}"/>
    <cellStyle name="Total 2 9" xfId="1363" xr:uid="{00000000-0005-0000-0000-000074060000}"/>
    <cellStyle name="Total 2 9 2" xfId="1364" xr:uid="{00000000-0005-0000-0000-000075060000}"/>
    <cellStyle name="Total 2 9 2 2" xfId="1641" xr:uid="{00000000-0005-0000-0000-000076060000}"/>
    <cellStyle name="Total 2 9 2 3" xfId="1642" xr:uid="{00000000-0005-0000-0000-000077060000}"/>
    <cellStyle name="Total 2 9 2 4" xfId="1643" xr:uid="{00000000-0005-0000-0000-000078060000}"/>
    <cellStyle name="Total 2 9 3" xfId="1365" xr:uid="{00000000-0005-0000-0000-000079060000}"/>
  </cellStyles>
  <dxfs count="1">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676275</xdr:colOff>
      <xdr:row>0</xdr:row>
      <xdr:rowOff>139699</xdr:rowOff>
    </xdr:from>
    <xdr:to>
      <xdr:col>20</xdr:col>
      <xdr:colOff>192616</xdr:colOff>
      <xdr:row>2</xdr:row>
      <xdr:rowOff>196849</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srcRect/>
        <a:stretch>
          <a:fillRect/>
        </a:stretch>
      </xdr:blipFill>
      <xdr:spPr bwMode="auto">
        <a:xfrm>
          <a:off x="11106150" y="139699"/>
          <a:ext cx="764116" cy="819150"/>
        </a:xfrm>
        <a:prstGeom prst="rect">
          <a:avLst/>
        </a:prstGeom>
        <a:noFill/>
        <a:ln w="9525">
          <a:noFill/>
          <a:miter lim="800000"/>
          <a:headEnd/>
          <a:tailEnd/>
        </a:ln>
      </xdr:spPr>
    </xdr:pic>
    <xdr:clientData/>
  </xdr:twoCellAnchor>
  <xdr:twoCellAnchor editAs="oneCell">
    <xdr:from>
      <xdr:col>24</xdr:col>
      <xdr:colOff>1120775</xdr:colOff>
      <xdr:row>0</xdr:row>
      <xdr:rowOff>128059</xdr:rowOff>
    </xdr:from>
    <xdr:to>
      <xdr:col>25</xdr:col>
      <xdr:colOff>496358</xdr:colOff>
      <xdr:row>2</xdr:row>
      <xdr:rowOff>185209</xdr:rowOff>
    </xdr:to>
    <xdr:pic>
      <xdr:nvPicPr>
        <xdr:cNvPr id="6" name="4 Imagen">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srcRect/>
        <a:stretch>
          <a:fillRect/>
        </a:stretch>
      </xdr:blipFill>
      <xdr:spPr bwMode="auto">
        <a:xfrm>
          <a:off x="18856325" y="128059"/>
          <a:ext cx="756708" cy="8191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ownloads\Formatos%20Obras%20Publicas%20TRANSPARENCIA%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 inciso ñ)"/>
      <sheetName val="V, inciso o) (OP)"/>
      <sheetName val="V, inciso p) (OP)"/>
      <sheetName val="V, inciso c) (OP)"/>
      <sheetName val="Artículo 15, frac. XIII"/>
    </sheetNames>
    <sheetDataSet>
      <sheetData sheetId="0" refreshError="1"/>
      <sheetData sheetId="1" refreshError="1">
        <row r="7">
          <cell r="C7" t="str">
            <v>DOPI-MUN-IN-AD-236-2015</v>
          </cell>
          <cell r="G7" t="str">
            <v xml:space="preserve">Carlos Humberto </v>
          </cell>
          <cell r="H7" t="str">
            <v>Barragán</v>
          </cell>
          <cell r="I7" t="str">
            <v>Fonseca</v>
          </cell>
          <cell r="K7" t="str">
            <v>GCI9305175H8</v>
          </cell>
          <cell r="V7">
            <v>42356</v>
          </cell>
          <cell r="AA7" t="str">
            <v>Construcción de puente peatonal, guarniciones y banquetas en la colonia Villa de Guadalupe, Municipio de Zapopan, Jalisco.</v>
          </cell>
          <cell r="AD7">
            <v>42360</v>
          </cell>
          <cell r="AE7">
            <v>42400</v>
          </cell>
        </row>
        <row r="8">
          <cell r="C8" t="str">
            <v>DOPI-MUN-IN-AD-237-2015</v>
          </cell>
          <cell r="G8" t="str">
            <v>Luis Reynaldo</v>
          </cell>
          <cell r="H8" t="str">
            <v>Galván</v>
          </cell>
          <cell r="I8" t="str">
            <v>Bermejo</v>
          </cell>
          <cell r="K8" t="str">
            <v>GAC051206TQ3</v>
          </cell>
          <cell r="V8">
            <v>42356</v>
          </cell>
          <cell r="AA8" t="str">
            <v>Adecuación de la Academia de Polícia, primera etapa, Municipio de Zapopan, Jalisco.</v>
          </cell>
          <cell r="AD8">
            <v>42360</v>
          </cell>
          <cell r="AE8">
            <v>42400</v>
          </cell>
        </row>
        <row r="9">
          <cell r="C9" t="str">
            <v>DOPI-MUN-AD-238-2015</v>
          </cell>
          <cell r="G9" t="str">
            <v>José de Jesús</v>
          </cell>
          <cell r="H9" t="str">
            <v>Castillo</v>
          </cell>
          <cell r="I9" t="str">
            <v>Carrillo</v>
          </cell>
          <cell r="K9" t="str">
            <v>MOP080610I53</v>
          </cell>
          <cell r="V9">
            <v>42388</v>
          </cell>
          <cell r="AA9" t="str">
            <v>Construcción de línea de drenaje sanitario y descargas domiciliarias en la calle Comitl de la calle Ozomatli a calle Michi, Municipio de Zapopan Jalisco.</v>
          </cell>
          <cell r="AD9">
            <v>42389</v>
          </cell>
          <cell r="AE9">
            <v>42439</v>
          </cell>
        </row>
        <row r="10">
          <cell r="C10" t="str">
            <v>DOPI-MUN-RM-APDS-AD-239-2015</v>
          </cell>
          <cell r="G10" t="str">
            <v>Francisco Javier</v>
          </cell>
          <cell r="H10" t="str">
            <v>Santiago</v>
          </cell>
          <cell r="I10" t="str">
            <v>Castro</v>
          </cell>
          <cell r="K10" t="str">
            <v>UCO120322GL0</v>
          </cell>
          <cell r="V10">
            <v>42364</v>
          </cell>
          <cell r="AA10" t="str">
            <v>Construcción de línea de drenaje sanitario y de línea de agua potable en la calle Lic. Eliseo Orozco Gutiérrez en el tramo de la calle Prof. Idolina Gaona de Cossio a Av. Juan Gil Preciado, en la colonia Jardines de Nuevo México, municipio de Zapopan, Jalisco</v>
          </cell>
          <cell r="AD10">
            <v>42366</v>
          </cell>
          <cell r="AE10">
            <v>42434</v>
          </cell>
        </row>
        <row r="11">
          <cell r="C11" t="str">
            <v>DOPI-MUN-RM-APDS-AD-240-2015</v>
          </cell>
          <cell r="G11" t="str">
            <v>Miguel Ángel</v>
          </cell>
          <cell r="H11" t="str">
            <v>González</v>
          </cell>
          <cell r="I11" t="str">
            <v>Dávila</v>
          </cell>
          <cell r="K11" t="str">
            <v>CLE131023270</v>
          </cell>
          <cell r="V11">
            <v>42364</v>
          </cell>
          <cell r="AA11" t="str">
            <v>Construcción de línea de drenaje sanitario y de línea de agua potable en la calle Lic. Eliseo Orozco Gutiérrez en el tramo de la calle Emiliano Zapata a calle Prof. Idolina Gaona de Cossio, en la colonia Jardines de Nuevo México, municipio de Zapopan, Jalisco</v>
          </cell>
          <cell r="AD11">
            <v>42366</v>
          </cell>
          <cell r="AE11">
            <v>42434</v>
          </cell>
        </row>
        <row r="13">
          <cell r="C13" t="str">
            <v>DOPI-MUN-RM-DS-AD-242-2015</v>
          </cell>
          <cell r="G13" t="str">
            <v>Mario</v>
          </cell>
          <cell r="H13" t="str">
            <v>Beltrán</v>
          </cell>
          <cell r="I13" t="str">
            <v>Rodríguez</v>
          </cell>
          <cell r="K13" t="str">
            <v>CDB0506068Z4</v>
          </cell>
          <cell r="V13">
            <v>42364</v>
          </cell>
          <cell r="AA13" t="str">
            <v>Construcción de línea de drenaje sanitario de 10", en las calles Santa Martha y Santo Santiago, en la colonia Lomas de Tabachines, municipio de Zapopan, Jalisco</v>
          </cell>
          <cell r="AD13">
            <v>42366</v>
          </cell>
          <cell r="AE13">
            <v>42460</v>
          </cell>
        </row>
        <row r="14">
          <cell r="C14" t="str">
            <v>DOPI-MUN-RM-DS-AD-243-2015</v>
          </cell>
          <cell r="G14" t="str">
            <v>Miguel Ángel</v>
          </cell>
          <cell r="H14" t="str">
            <v>Romero</v>
          </cell>
          <cell r="I14" t="str">
            <v>Lugo</v>
          </cell>
          <cell r="K14" t="str">
            <v>OCC940714PB0</v>
          </cell>
          <cell r="V14">
            <v>42364</v>
          </cell>
          <cell r="AA14" t="str">
            <v>Construcción de línea de drenaje sanitario de 10", en la calle Gigante entre la calle Tabachines y El Arroyo, colonia Vicente Guerrero, municipio de Zapopan, Jalisco</v>
          </cell>
          <cell r="AD14">
            <v>42366</v>
          </cell>
          <cell r="AE14">
            <v>42400</v>
          </cell>
        </row>
        <row r="15">
          <cell r="C15" t="str">
            <v>DOPI-MUN-RP-PAV-AD-001-2016</v>
          </cell>
          <cell r="G15" t="str">
            <v>Guillermo</v>
          </cell>
          <cell r="H15" t="str">
            <v>Lara</v>
          </cell>
          <cell r="I15" t="str">
            <v>Vargas</v>
          </cell>
          <cell r="K15" t="str">
            <v>DGL060620SUA</v>
          </cell>
          <cell r="V15">
            <v>42394</v>
          </cell>
          <cell r="AA15" t="str">
            <v>Reencarpetamiento de los carriles norte de la Avenida Acueducto del límite municipal a la Avenida Patria, incluye desbastado de la carpeta existente, Municipio de Zapopan, Jalisco</v>
          </cell>
          <cell r="AD15">
            <v>42396</v>
          </cell>
          <cell r="AE15">
            <v>42429</v>
          </cell>
        </row>
        <row r="16">
          <cell r="C16" t="str">
            <v>DOPI-MUN-RP-EP-AD-002-2016</v>
          </cell>
          <cell r="G16" t="str">
            <v>Héctor Guillermo</v>
          </cell>
          <cell r="H16" t="str">
            <v>Castro</v>
          </cell>
          <cell r="I16" t="str">
            <v>Gómez</v>
          </cell>
          <cell r="K16" t="str">
            <v>ADI130522MB7</v>
          </cell>
          <cell r="V16">
            <v>42387</v>
          </cell>
          <cell r="AA16" t="str">
            <v>Demoliciones, preliminares, rellenos, plazoletas, rampas, protección de puentes, jardinería, en espacio público recuperado ubicado en Periferico Norte, entre la preparatoria No. 10 y el CUCEA, Municipio de Zapopan, Jalisco.</v>
          </cell>
          <cell r="AD16">
            <v>42388</v>
          </cell>
          <cell r="AE16">
            <v>42429</v>
          </cell>
        </row>
        <row r="17">
          <cell r="C17" t="str">
            <v>DOPI-MUN-RP-EP-AD-003-2016</v>
          </cell>
          <cell r="G17" t="str">
            <v>Salvador</v>
          </cell>
          <cell r="H17" t="str">
            <v>Barragán</v>
          </cell>
          <cell r="I17" t="str">
            <v>Fonseca</v>
          </cell>
          <cell r="K17" t="str">
            <v>CEB961031DJ1</v>
          </cell>
          <cell r="V17">
            <v>42387</v>
          </cell>
          <cell r="AA17" t="str">
            <v>Mobiliario urbano, instalaciones eléctricas, alumbrado, defensa metálica, topes, aproches, bolardos, señalética, en espacio público recuperado ubicado en Periferico Norte, entre la preparatoria No. 10 y el CUCEA, Municipio de Zapopan, Jalisco.</v>
          </cell>
          <cell r="AD17">
            <v>42388</v>
          </cell>
          <cell r="AE17">
            <v>42429</v>
          </cell>
        </row>
        <row r="18">
          <cell r="C18" t="str">
            <v>DOPI-MUN-RP-CONT-AD-004-2016</v>
          </cell>
          <cell r="G18" t="str">
            <v>Bernardo</v>
          </cell>
          <cell r="H18" t="str">
            <v>Saenz</v>
          </cell>
          <cell r="I18" t="str">
            <v>Barba</v>
          </cell>
          <cell r="K18" t="str">
            <v>GEM070112PX8</v>
          </cell>
          <cell r="V18">
            <v>42413</v>
          </cell>
          <cell r="AA18" t="str">
            <v>Reparación de muro de contención en el arroyo seco en el tramo de López Mateos a calle Corresponsales en la colonia Periodistas; Protección de canal pluvial a base de parapetos y estructura metálica en la calle Industria Textil esquina con calle Tarragona, en la colonia Altagracia; Reposición de losas de vialidad con concreto MR-42, construcción de banquetas, guarniciones y reparación de muro de mampostería, en la colonia Jardines del Centinela, municipio de Zapopan, Jalisco</v>
          </cell>
          <cell r="AD18">
            <v>42415</v>
          </cell>
          <cell r="AE18">
            <v>42484</v>
          </cell>
        </row>
        <row r="19">
          <cell r="C19" t="str">
            <v>DOPI-MUN-RP-IS-AD-005-2016</v>
          </cell>
          <cell r="G19" t="str">
            <v>Maria Teresa</v>
          </cell>
          <cell r="H19" t="str">
            <v>Sánchez</v>
          </cell>
          <cell r="I19" t="str">
            <v>Cabrera</v>
          </cell>
          <cell r="K19" t="str">
            <v>SIP070803JZ8</v>
          </cell>
          <cell r="V19">
            <v>42420</v>
          </cell>
          <cell r="AA19" t="str">
            <v>Rehabilitación de quirofanos, baños en el área de encamados, baños de recepción e impermeabilizaciones en azotea en la Cruz Verde Sur las Águilas, ubicada en Av. López Mateos y calle Cruz del Sur, en la colonia Las Águilas, municipio de Zapopan, Jalisco</v>
          </cell>
          <cell r="AD19">
            <v>42422</v>
          </cell>
          <cell r="AE19">
            <v>42505</v>
          </cell>
        </row>
        <row r="20">
          <cell r="C20" t="str">
            <v>DOPI-MUN-RP-IM-AD-006-2016</v>
          </cell>
          <cell r="G20" t="str">
            <v xml:space="preserve">Leobardo </v>
          </cell>
          <cell r="H20" t="str">
            <v>Preciado</v>
          </cell>
          <cell r="I20" t="str">
            <v>Zepeda</v>
          </cell>
          <cell r="K20" t="str">
            <v>CCA971126QC9</v>
          </cell>
          <cell r="V20">
            <v>42420</v>
          </cell>
          <cell r="AA20" t="str">
            <v>Reparación de bóvedas, reforzamiento de columnas de concreto, impermeabilización de azoteas, pintura interior en las instalaciones del DIF Nextipac, ubicado en la calle Venustiano Carranza esquina con calle Leona Vicario, en la localidad de Nextipac, municipio de Zapopan, Jalisco</v>
          </cell>
          <cell r="AD20">
            <v>42422</v>
          </cell>
          <cell r="AE20">
            <v>42484</v>
          </cell>
        </row>
        <row r="21">
          <cell r="C21" t="str">
            <v>DOPI-MUN-RP-REST-AD-007-2016</v>
          </cell>
          <cell r="G21" t="str">
            <v>Adriana Isabel</v>
          </cell>
          <cell r="H21" t="str">
            <v>Montañez</v>
          </cell>
          <cell r="I21" t="str">
            <v>Zamora</v>
          </cell>
          <cell r="K21" t="str">
            <v>GCT12060233A</v>
          </cell>
          <cell r="V21">
            <v>42420</v>
          </cell>
          <cell r="AA21" t="str">
            <v>Restauración y reforzamiento de balcón principal y construcción de rampa de ingreso para personas con discapacidad en la presidencia municipal, municipio de Zapopan, Jalisco</v>
          </cell>
          <cell r="AD21">
            <v>42422</v>
          </cell>
          <cell r="AE21">
            <v>42484</v>
          </cell>
        </row>
        <row r="22">
          <cell r="C22" t="str">
            <v>DOPI-MUN-RP-PROY-AD-008-2016</v>
          </cell>
          <cell r="G22" t="str">
            <v>Ricardo</v>
          </cell>
          <cell r="H22" t="str">
            <v>Haro</v>
          </cell>
          <cell r="I22" t="str">
            <v>Bugarín</v>
          </cell>
          <cell r="K22" t="str">
            <v>CED030514T47</v>
          </cell>
          <cell r="V22">
            <v>42406</v>
          </cell>
          <cell r="AA22" t="str">
            <v>Diagnóstico, diseño y proyectos estructurales de diferentes elementos del programa 2016 primera etapa, municipio de Zapopan, Jalisco.</v>
          </cell>
          <cell r="AD22">
            <v>42408</v>
          </cell>
          <cell r="AE22">
            <v>42551</v>
          </cell>
        </row>
        <row r="23">
          <cell r="C23" t="str">
            <v>DOPI-MUN-RP-PROY-AD-009-2016</v>
          </cell>
          <cell r="G23" t="str">
            <v>Javier</v>
          </cell>
          <cell r="H23" t="str">
            <v>Ávila</v>
          </cell>
          <cell r="I23" t="str">
            <v>Flores</v>
          </cell>
          <cell r="K23" t="str">
            <v>SCC060622HZ3</v>
          </cell>
          <cell r="V23">
            <v>42406</v>
          </cell>
          <cell r="AA23" t="str">
            <v>Diagnóstico, diseño y proyectos hidráulicos 2016, primera etapa, de diferentes redes de agua potable y alcantarillado, municipio de Zapopan Jalisco.</v>
          </cell>
          <cell r="AD23">
            <v>42408</v>
          </cell>
          <cell r="AE23">
            <v>42551</v>
          </cell>
        </row>
        <row r="24">
          <cell r="C24" t="str">
            <v>DOPI-MUN-RP-PROY-AD-010-2016</v>
          </cell>
          <cell r="G24" t="str">
            <v>Héctor Alejandro</v>
          </cell>
          <cell r="H24" t="str">
            <v>Ortega</v>
          </cell>
          <cell r="I24" t="str">
            <v>Rosales</v>
          </cell>
          <cell r="K24" t="str">
            <v>ISS920330811</v>
          </cell>
          <cell r="V24">
            <v>42406</v>
          </cell>
          <cell r="AA24" t="str">
            <v>Diagnóstico, diseño y proyectos de infraestructura eléctrica 2016, primera etapa, municipio de Zapopan, Jalisco.</v>
          </cell>
          <cell r="AD24">
            <v>42408</v>
          </cell>
          <cell r="AE24">
            <v>42551</v>
          </cell>
        </row>
        <row r="25">
          <cell r="C25" t="str">
            <v>DOPI-MUN-RP-PROY-AD-011-2016</v>
          </cell>
          <cell r="G25" t="str">
            <v xml:space="preserve">José </v>
          </cell>
          <cell r="H25" t="str">
            <v>Guillén</v>
          </cell>
          <cell r="I25" t="str">
            <v>Díaz</v>
          </cell>
          <cell r="K25" t="str">
            <v>SPC050127BR0</v>
          </cell>
          <cell r="V25">
            <v>42406</v>
          </cell>
          <cell r="AA25" t="str">
            <v>Control de calidad de diferentes obras 2016 del municipio de Zapopan, Jalisco, frente 1.</v>
          </cell>
          <cell r="AD25">
            <v>42408</v>
          </cell>
          <cell r="AE25">
            <v>42735</v>
          </cell>
        </row>
        <row r="26">
          <cell r="C26" t="str">
            <v>DOPI-MUN-RP-PROY-AD-012-2016</v>
          </cell>
          <cell r="G26" t="str">
            <v>José Alejandro</v>
          </cell>
          <cell r="H26" t="str">
            <v>Alva</v>
          </cell>
          <cell r="I26" t="str">
            <v>Delgado</v>
          </cell>
          <cell r="K26" t="str">
            <v>SOC150806E69</v>
          </cell>
          <cell r="V26">
            <v>42406</v>
          </cell>
          <cell r="AA26" t="str">
            <v>Control de calidad de diferentes obras 2016 del municipio de Zapopan, Jalisco, frente 2.</v>
          </cell>
          <cell r="AD26">
            <v>42408</v>
          </cell>
          <cell r="AE26">
            <v>42735</v>
          </cell>
        </row>
        <row r="27">
          <cell r="C27" t="str">
            <v>DOPI-MUN-RP-PROY-AD-013-2016</v>
          </cell>
          <cell r="G27" t="str">
            <v>Héctor Hugo</v>
          </cell>
          <cell r="H27" t="str">
            <v>Guillén</v>
          </cell>
          <cell r="I27" t="str">
            <v>Guerrero</v>
          </cell>
          <cell r="K27" t="str">
            <v>CON090306I19</v>
          </cell>
          <cell r="V27">
            <v>42406</v>
          </cell>
          <cell r="AA27" t="str">
            <v>Estudios de mecánica de suelos y diseño de pavimentos de diferentes obras 2016, primera etapa, del municipio de Zapopan, Jalisco.</v>
          </cell>
          <cell r="AD27">
            <v>42408</v>
          </cell>
          <cell r="AE27">
            <v>42551</v>
          </cell>
        </row>
        <row r="28">
          <cell r="C28" t="str">
            <v>DOPI-MUN-RP-PROY-AD-014-2016</v>
          </cell>
          <cell r="G28" t="str">
            <v>Gabriel</v>
          </cell>
          <cell r="H28" t="str">
            <v>Franco</v>
          </cell>
          <cell r="I28" t="str">
            <v>Alatorre</v>
          </cell>
          <cell r="K28" t="str">
            <v>COM141015F48</v>
          </cell>
          <cell r="V28">
            <v>42406</v>
          </cell>
          <cell r="AA28" t="str">
            <v>Estudios básicos topográficos para diferentes obras 2016, primera etapa, del municipio de Zapopan, Jalisco.</v>
          </cell>
          <cell r="AD28">
            <v>42408</v>
          </cell>
          <cell r="AE28">
            <v>42551</v>
          </cell>
        </row>
        <row r="29">
          <cell r="C29" t="str">
            <v>DOPI-MUN-RP-EP-AD-015-2016</v>
          </cell>
          <cell r="G29" t="str">
            <v>Hugo Alejandro</v>
          </cell>
          <cell r="H29" t="str">
            <v>Almanzor</v>
          </cell>
          <cell r="I29" t="str">
            <v>González</v>
          </cell>
          <cell r="K29" t="str">
            <v>ACO0806185Z3</v>
          </cell>
          <cell r="V29">
            <v>42413</v>
          </cell>
          <cell r="AA29" t="str">
            <v>Demoliciones, rellenos, construcción de muros, banquetas, estacionamiento, cerca perimetral, banquetas y puente en el parque El Polvorin II, municipio de Zapopan, Jalisco.</v>
          </cell>
          <cell r="AD29">
            <v>42415</v>
          </cell>
          <cell r="AE29">
            <v>42475</v>
          </cell>
        </row>
        <row r="30">
          <cell r="C30" t="str">
            <v>DOPI-MUN-RP-OC-AD-032-16</v>
          </cell>
          <cell r="G30" t="str">
            <v>Raul</v>
          </cell>
          <cell r="H30" t="str">
            <v>Ortega</v>
          </cell>
          <cell r="I30" t="str">
            <v>Jara</v>
          </cell>
          <cell r="K30" t="str">
            <v>CAN030528ME0</v>
          </cell>
          <cell r="V30">
            <v>42461</v>
          </cell>
          <cell r="AA30" t="str">
            <v>Desazolve y limpieza en el canal Tepeyac ubicado en la Avenida Las Torres colonia Miramar; desazolve, limpieza y rehabilitación de mampostería en el canal Puerta Plata ubicado en las colonias Royal Country y Puerta Plata, municipio de Zapopan, Jalisco.</v>
          </cell>
          <cell r="AD30">
            <v>42464</v>
          </cell>
          <cell r="AE30">
            <v>42536</v>
          </cell>
        </row>
        <row r="31">
          <cell r="C31" t="str">
            <v>DOPI-MUN-RP-IM-AD-033-16</v>
          </cell>
          <cell r="G31" t="str">
            <v>Juan José</v>
          </cell>
          <cell r="H31" t="str">
            <v>Gutiérrez</v>
          </cell>
          <cell r="I31" t="str">
            <v>Contreras</v>
          </cell>
          <cell r="K31" t="str">
            <v>RCO130920JX9</v>
          </cell>
          <cell r="V31">
            <v>42461</v>
          </cell>
          <cell r="AA31" t="str">
            <v>Construcción de muro y rehabilitación de banquetas en Panteón Municipal ubicado en la localidad de Santa Ana Tepetitlán, municipio de Zapopan, Jalisco.</v>
          </cell>
          <cell r="AD31">
            <v>42464</v>
          </cell>
          <cell r="AE31">
            <v>42510</v>
          </cell>
        </row>
        <row r="32">
          <cell r="C32" t="str">
            <v>DOPI-MUN-RP-OC-AD-034-16</v>
          </cell>
          <cell r="G32" t="str">
            <v>Bernardo</v>
          </cell>
          <cell r="H32" t="str">
            <v>Saenz</v>
          </cell>
          <cell r="I32" t="str">
            <v>Barba</v>
          </cell>
          <cell r="K32" t="str">
            <v>GEM070112PX8</v>
          </cell>
          <cell r="V32">
            <v>42467</v>
          </cell>
          <cell r="AA32" t="str">
            <v>Desazolve y rectificación del arroyo seco en el tramo de la colonia Periodistas; en la colonia El Mante y del arroyo El Garabato en la colonia El Briseño, municipio de Zapopan, Jalisco.</v>
          </cell>
          <cell r="AD32">
            <v>42471</v>
          </cell>
          <cell r="AE32">
            <v>42536</v>
          </cell>
        </row>
        <row r="33">
          <cell r="C33" t="str">
            <v>DOPI-MUN-RP-OC-AD-035-16</v>
          </cell>
          <cell r="G33" t="str">
            <v>Jorge Guillermo</v>
          </cell>
          <cell r="H33" t="str">
            <v>Malacón</v>
          </cell>
          <cell r="I33" t="str">
            <v>Sainz</v>
          </cell>
          <cell r="K33" t="str">
            <v>EYA020712BQ6</v>
          </cell>
          <cell r="V33">
            <v>42475</v>
          </cell>
          <cell r="AA33" t="str">
            <v>Desazolve, limpieza y rectificación de canal La Martinica - Paseo de las Aves en el tramo de la colonia Altagracia y la colonia La Martinica; desazolve y limpieza del Arroyo Hondo en la colonia Arroyo Hondo, Municipio de Zapopan, Jalisco.</v>
          </cell>
          <cell r="AD33">
            <v>42478</v>
          </cell>
          <cell r="AE33">
            <v>42551</v>
          </cell>
        </row>
        <row r="34">
          <cell r="C34" t="str">
            <v>DOPI-MUN-RP-IM-AD-036-16</v>
          </cell>
          <cell r="G34" t="str">
            <v>Victor Martín</v>
          </cell>
          <cell r="H34" t="str">
            <v>López</v>
          </cell>
          <cell r="I34" t="str">
            <v>Santos</v>
          </cell>
          <cell r="K34" t="str">
            <v>CCI020411HS5</v>
          </cell>
          <cell r="V34">
            <v>42475</v>
          </cell>
          <cell r="AA34" t="str">
            <v>Construcción de Bóveda de seguridad para alojamiento de valores en la recaudadora No. 6 ubicada en la Avenida Guadalupe esquina Periférico Poniente Manuel Gómez Morín, municipio de Zapopan, Jalisco.</v>
          </cell>
          <cell r="AD34">
            <v>42478</v>
          </cell>
          <cell r="AE34">
            <v>42525</v>
          </cell>
        </row>
        <row r="35">
          <cell r="C35" t="str">
            <v>DOPI-MUN-RP-IM-AD-037-16</v>
          </cell>
          <cell r="G35" t="str">
            <v>Adriana Del Refugio</v>
          </cell>
          <cell r="H35" t="str">
            <v>De la Torre</v>
          </cell>
          <cell r="I35" t="str">
            <v>Martín</v>
          </cell>
          <cell r="K35" t="str">
            <v>SCO040813IIA</v>
          </cell>
          <cell r="V35">
            <v>42482</v>
          </cell>
          <cell r="AA35" t="str">
            <v>Rehabilitación en las oficinas y ampliación de comedor de empleados en el Dif Laureles, ubicado en Avenida Juan Pablo II, esquina con calle Lázaro Cárdenas, municipio de Zapopan, Jalisco.</v>
          </cell>
          <cell r="AD35">
            <v>42485</v>
          </cell>
          <cell r="AE35">
            <v>42521</v>
          </cell>
        </row>
        <row r="36">
          <cell r="C36" t="str">
            <v>DOPI-MUN-RP-OC-AD-038-16</v>
          </cell>
          <cell r="G36" t="str">
            <v>Omar</v>
          </cell>
          <cell r="H36" t="str">
            <v>Mora</v>
          </cell>
          <cell r="I36" t="str">
            <v>Montes de Oca</v>
          </cell>
          <cell r="K36" t="str">
            <v>DCO130215C16</v>
          </cell>
          <cell r="V36">
            <v>42482</v>
          </cell>
          <cell r="AA36" t="str">
            <v>Obras de protección consistentes en construcción de muro de mampostería; construcción de plantilla de zampeado en el arroyo Bugambilias de la colonia La Florida hasta el límite municipal; construcción de muro de contención de mampostería y construcción de losa de piso de mampostería, incluye limpieza y desazolve en la calle Gigante, calle Pino y calle Vicente Guerrero en la colonia Primavera Vicente Guerrero, Municipio de Zapopan, Jalisco.</v>
          </cell>
          <cell r="AD36">
            <v>42485</v>
          </cell>
          <cell r="AE36">
            <v>42536</v>
          </cell>
        </row>
        <row r="37">
          <cell r="C37" t="str">
            <v>DOPI-MUN-RP-ELE-AD-039-16</v>
          </cell>
          <cell r="G37" t="str">
            <v>Juan Pablo</v>
          </cell>
          <cell r="H37" t="str">
            <v>Vera</v>
          </cell>
          <cell r="I37" t="str">
            <v>Tavares</v>
          </cell>
          <cell r="K37" t="str">
            <v>LCO080228DN2</v>
          </cell>
          <cell r="V37">
            <v>42475</v>
          </cell>
          <cell r="AA37" t="str">
            <v>Red de alumbrado público y baja tensión en la calle Las Palmas y calle San Gonzálo en la colonia La Limera, municipio de Zapopan Jalisco.</v>
          </cell>
          <cell r="AD37">
            <v>42478</v>
          </cell>
          <cell r="AE37">
            <v>42545</v>
          </cell>
        </row>
        <row r="38">
          <cell r="C38" t="str">
            <v>DOPI-MUN-RP-ELE-AD-040-16</v>
          </cell>
          <cell r="G38" t="str">
            <v>Armando</v>
          </cell>
          <cell r="H38" t="str">
            <v>Arroyo</v>
          </cell>
          <cell r="I38" t="str">
            <v>Zepeda</v>
          </cell>
          <cell r="K38" t="str">
            <v>CEI000807E95</v>
          </cell>
          <cell r="V38">
            <v>42461</v>
          </cell>
          <cell r="AA38" t="str">
            <v>Red de alumbrado público en las calles Ecología de Conservación a Naturaleza, Conservación de Ecología a Naturaleza, Naturaleza de Conservación a Ecología, en la colonia Río Blanco; Electrificación en media y baja tensión y alumbrado público en las calles Manzano de San Francisco a Matamoros, San Miguel de San Francisco a Matamoros, Santa María  de San Francisco a Matamoros, Dolores Rodríguez de Matamoros a Ameca, Jalisco de Matamoros a Ameca en la colonia Lomas del Refugio, municipio de Zapopan, Jalisco.</v>
          </cell>
          <cell r="AD38">
            <v>42464</v>
          </cell>
          <cell r="AE38">
            <v>42545</v>
          </cell>
        </row>
        <row r="39">
          <cell r="C39" t="str">
            <v>DOPI-MUN-RP-AP-AD-041-16</v>
          </cell>
          <cell r="G39" t="str">
            <v>Jesús Alfredo</v>
          </cell>
          <cell r="H39" t="str">
            <v>Vargas</v>
          </cell>
          <cell r="I39" t="str">
            <v>Castellanos</v>
          </cell>
          <cell r="K39" t="str">
            <v>TIN130227AS1</v>
          </cell>
          <cell r="V39">
            <v>42482</v>
          </cell>
          <cell r="AA39" t="str">
            <v>Construcción de línea de drenaje sanitario y línea de agua potable en las calles andador Tequila de Tequila a Lagos de Moreno, Prolongación Zapopan de Jalisco a Prolongación Jalisco y Jalisco de Prolongación Zapopan a Prolongación Jalisco, en la colonia Lomas del Refugio, municipio de Zapopan, Jalisco.</v>
          </cell>
          <cell r="AD39">
            <v>42485</v>
          </cell>
          <cell r="AE39">
            <v>42518</v>
          </cell>
        </row>
        <row r="40">
          <cell r="C40" t="str">
            <v>DOPI-MUN-RP-IM-AD-042-16</v>
          </cell>
          <cell r="G40" t="str">
            <v>José Antonio</v>
          </cell>
          <cell r="H40" t="str">
            <v>Álvarez</v>
          </cell>
          <cell r="I40" t="str">
            <v>Garcia</v>
          </cell>
          <cell r="K40" t="str">
            <v>UMN160125869</v>
          </cell>
          <cell r="V40">
            <v>42501</v>
          </cell>
          <cell r="AA40" t="str">
            <v>Construcción de muro perimetral y rehabilitación de herrería en el CDI No. 2 "Pablo Casals", ubicado en la colonia Valle de Atemajac; suministro e instalación de malla sombra en patio central y rehabilitación de área exterior infantil, en el CDI No. 09, ubicado en la colonia Villa de Guadalupe; construcción de muro y malla perimetral en el CDC No. 20, ubicado en la colonia Arenales Tapatios; impermeabilización de azoteas en el CRI ubicado en Av. Laureles, colonia Unidad Fovissste; colocación de ladrillo de azotea e impermeabilización en el CEMAM, ubicado en la calle cerrada Santa Laura, colonia Santa Margarita Primera Sección, muncipio de Zapopan, Jalisco</v>
          </cell>
          <cell r="AD40">
            <v>42502</v>
          </cell>
          <cell r="AE40">
            <v>42582</v>
          </cell>
        </row>
        <row r="41">
          <cell r="C41" t="str">
            <v>DOPI-MUN-RP-PROY-AD-043-16</v>
          </cell>
          <cell r="G41" t="str">
            <v>Juan Francisco</v>
          </cell>
          <cell r="H41" t="str">
            <v>Toscano</v>
          </cell>
          <cell r="I41" t="str">
            <v>Lases</v>
          </cell>
          <cell r="K41" t="str">
            <v>IDO100427QG2</v>
          </cell>
          <cell r="V41">
            <v>42503</v>
          </cell>
          <cell r="AA41" t="str">
            <v>Proyecto ejecutivo para la construcción de la cruz verde ubicada en la colonia Villas de Guadalupe, municipio de Zapopan, Jalisco.</v>
          </cell>
          <cell r="AD41">
            <v>42506</v>
          </cell>
          <cell r="AE41">
            <v>42582</v>
          </cell>
        </row>
        <row r="42">
          <cell r="C42" t="str">
            <v>DOPI-MUN-RM-EM-AD-068-2016</v>
          </cell>
          <cell r="G42" t="str">
            <v>Alfredo</v>
          </cell>
          <cell r="H42" t="str">
            <v>Aguirre</v>
          </cell>
          <cell r="I42" t="str">
            <v>Montoya</v>
          </cell>
          <cell r="K42" t="str">
            <v>TAI920312952</v>
          </cell>
          <cell r="V42">
            <v>42545</v>
          </cell>
          <cell r="AA42" t="str">
            <v>Construcción de solución pluvial y de reforzamiento en terreno afectado por deslaves en paredes de terreno natural en terreno anexo a Residencial Poniente, Municipio de Zapopan, Jalisco.</v>
          </cell>
          <cell r="AD42">
            <v>42548</v>
          </cell>
          <cell r="AE42">
            <v>42637</v>
          </cell>
        </row>
        <row r="43">
          <cell r="C43" t="str">
            <v>DOPI-MUN-RM-EM-AD-069-2016</v>
          </cell>
          <cell r="G43" t="str">
            <v>José Antonio</v>
          </cell>
          <cell r="H43" t="str">
            <v>Cuevas</v>
          </cell>
          <cell r="I43" t="str">
            <v>Briseño</v>
          </cell>
          <cell r="K43" t="str">
            <v>CUBA5705179V8</v>
          </cell>
          <cell r="V43">
            <v>42542</v>
          </cell>
          <cell r="AA43" t="str">
            <v>Reconstrucción de la cimentación, instalaciones, estructura y terminados de viviendas, y construcción de casa habitación afectadas por la explosion sucitada en el fraccionamiento Tabachines en las confluencias de la calle Frambuesos y la Av. Caobas, Municipio de Zapopan, Jalisco.</v>
          </cell>
          <cell r="AD43">
            <v>42543</v>
          </cell>
          <cell r="AE43">
            <v>42632</v>
          </cell>
        </row>
        <row r="44">
          <cell r="C44" t="str">
            <v>DOPI-MUN-RM-CA-AD-070-2016</v>
          </cell>
          <cell r="G44" t="str">
            <v xml:space="preserve">Eduardo </v>
          </cell>
          <cell r="H44" t="str">
            <v>Plascencia</v>
          </cell>
          <cell r="I44" t="str">
            <v>Macias</v>
          </cell>
          <cell r="K44" t="str">
            <v>CEP080129EK6</v>
          </cell>
          <cell r="V44">
            <v>42542</v>
          </cell>
          <cell r="AA44" t="str">
            <v>Rehabilitación de daños por sismo en aplanados, impermeabilizantes, pintura, plafones, pisos interiores y exteriores, jardineras, construcción de rampas, cubierta exterior, adecuaciones hidráulicas y acciones varias, en la Cruz Verde Santa Lucía, Municipio de Zapopan, Jalisco.</v>
          </cell>
          <cell r="AD44">
            <v>42543</v>
          </cell>
          <cell r="AE44">
            <v>42632</v>
          </cell>
        </row>
        <row r="45">
          <cell r="C45" t="str">
            <v>DOPI-MUN-RM-CA-AD-071-2016</v>
          </cell>
          <cell r="G45" t="str">
            <v>Ofelia</v>
          </cell>
          <cell r="H45" t="str">
            <v>Reyes</v>
          </cell>
          <cell r="I45" t="str">
            <v>Estrella</v>
          </cell>
          <cell r="K45" t="str">
            <v>WCO130628TM3</v>
          </cell>
          <cell r="V45">
            <v>42542</v>
          </cell>
          <cell r="AA45" t="str">
            <v>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v>
          </cell>
          <cell r="AD45">
            <v>42543</v>
          </cell>
          <cell r="AE45">
            <v>42602</v>
          </cell>
        </row>
        <row r="46">
          <cell r="C46" t="str">
            <v>DOPI-MUN-RM-PAV-AD-072-2016</v>
          </cell>
          <cell r="G46" t="str">
            <v>Elba</v>
          </cell>
          <cell r="H46" t="str">
            <v xml:space="preserve">González </v>
          </cell>
          <cell r="I46" t="str">
            <v>Aguirre</v>
          </cell>
          <cell r="K46" t="str">
            <v>GUR120612P22</v>
          </cell>
          <cell r="V46">
            <v>42542</v>
          </cell>
          <cell r="AA46" t="str">
            <v>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v>
          </cell>
          <cell r="AD46">
            <v>42543</v>
          </cell>
          <cell r="AE46">
            <v>42632</v>
          </cell>
        </row>
        <row r="47">
          <cell r="C47" t="str">
            <v>DOPI-MUN-RM-IM-AD-073-2016</v>
          </cell>
          <cell r="G47" t="str">
            <v>Hugo Armando</v>
          </cell>
          <cell r="H47" t="str">
            <v>Prieto</v>
          </cell>
          <cell r="I47" t="str">
            <v>Jiménez</v>
          </cell>
          <cell r="K47" t="str">
            <v>CRP870708I62</v>
          </cell>
          <cell r="V47">
            <v>42545</v>
          </cell>
          <cell r="AA47" t="str">
            <v>Construcción y rehabilitación de bardas perimetrales en el Centro Comunitario No. 15 del DIF ubicado en San Juan de Ocotán y en la guardería CAIC del DIF ubicado en Miramar, Municipio de Zapopan, Jalisco.</v>
          </cell>
          <cell r="AD47">
            <v>42548</v>
          </cell>
          <cell r="AE47">
            <v>42607</v>
          </cell>
        </row>
        <row r="48">
          <cell r="C48" t="str">
            <v>DOPI-MUN-R33FORTA-OC-AD-074-2016</v>
          </cell>
          <cell r="G48" t="str">
            <v>Luis German</v>
          </cell>
          <cell r="H48" t="str">
            <v xml:space="preserve">Delgadillo </v>
          </cell>
          <cell r="I48" t="str">
            <v>Alcazar</v>
          </cell>
          <cell r="K48" t="str">
            <v>APE111122MI0</v>
          </cell>
          <cell r="V48">
            <v>42521</v>
          </cell>
          <cell r="AA48" t="str">
            <v>Desazolve y construcción de muros de contención con mamposteria del Canal Puerta Plata en unión con Canal Santa Isabel, y desazolve de Canal Santa Lucia en la Colonia Santa Mónica Los Chorritos y Colonia Santa Lucia, Municipio de Zapopan, Jalisco.</v>
          </cell>
          <cell r="AD48">
            <v>42522</v>
          </cell>
          <cell r="AE48">
            <v>42566</v>
          </cell>
        </row>
        <row r="49">
          <cell r="C49" t="str">
            <v>DOPI-MUN-R33FORTA-OC-AD-075-2016</v>
          </cell>
          <cell r="G49" t="str">
            <v>Sergio Alberto</v>
          </cell>
          <cell r="H49" t="str">
            <v>Baylon</v>
          </cell>
          <cell r="I49" t="str">
            <v>Moreno</v>
          </cell>
          <cell r="K49" t="str">
            <v>EEC9909173A7</v>
          </cell>
          <cell r="V49">
            <v>42521</v>
          </cell>
          <cell r="AA49" t="str">
            <v>Desazolve y limpieza en el canal Santa Catalina en el tramo de Av. Patria a Av. Mariano Otero, municipio de Zapopan, Jalisco.</v>
          </cell>
          <cell r="AD49">
            <v>42522</v>
          </cell>
          <cell r="AE49">
            <v>42566</v>
          </cell>
        </row>
        <row r="50">
          <cell r="C50" t="str">
            <v>DOPI-MUN-R33FORTA-OC-AD-076-2016</v>
          </cell>
          <cell r="G50" t="str">
            <v xml:space="preserve">Guillermo Alberto </v>
          </cell>
          <cell r="H50" t="str">
            <v>Rodríguez</v>
          </cell>
          <cell r="I50" t="str">
            <v>Allende</v>
          </cell>
          <cell r="K50" t="str">
            <v>GCM121112J86</v>
          </cell>
          <cell r="V50">
            <v>42523</v>
          </cell>
          <cell r="AA50" t="str">
            <v>Reparación de muros de contención de mamposteria, demolición de elementos estructurales de concreto armado, construcción y rectificación de plantilla y de muro de mamposteria, rehabilitación y colocación de malla ciclonica de protección perimetral, construcción de puente peatonal metalico, limpieza y desazolve en el canal pluvial Villas Perisur, en la Colonia El Briseño; Construcción de muro de concreto reforzado divisorio de carriles para corregir escurrimientos superficiales para mitigar inundación en retorno deprimido en Periférico Póniente y Mariano Otero, Municipio de Zapopan, Jalisco.</v>
          </cell>
          <cell r="AD50">
            <v>42524</v>
          </cell>
          <cell r="AE50">
            <v>42573</v>
          </cell>
        </row>
        <row r="51">
          <cell r="C51" t="str">
            <v>DOPI-MUN-R33FORTA-PROY-AD-077-2016</v>
          </cell>
          <cell r="G51" t="str">
            <v>David</v>
          </cell>
          <cell r="H51" t="str">
            <v>Ledesma</v>
          </cell>
          <cell r="I51" t="str">
            <v>Martin del Campo</v>
          </cell>
          <cell r="K51" t="str">
            <v>LEMD880217U53</v>
          </cell>
          <cell r="V51">
            <v>42530</v>
          </cell>
          <cell r="AA51" t="str">
            <v>Proyecto ejecutivo para la construcción de las unidades deportivas Santa María del Pueblito ubicada en calle Independencia S/N colonia Santa María del Pueblito; Santa Margarita ubicada en calle Santa Matilde S/N colonia Santa Margarita; Miguel de la Madrid ubicada en calle López Portillo S/N colonia Miguel de la Madrid; y Villas de Guadalupe ubicada en calle Febronio Lara esquina María Perfecta Llamas S/N colonia Villas de Guadalupe, Municipio de Zapopan, Jalisco.</v>
          </cell>
          <cell r="AD51">
            <v>42531</v>
          </cell>
          <cell r="AE51">
            <v>42643</v>
          </cell>
        </row>
        <row r="52">
          <cell r="C52" t="str">
            <v>DOPI-MUN-RM-IM-AD-078-2016</v>
          </cell>
          <cell r="G52" t="str">
            <v>J. Gerardo</v>
          </cell>
          <cell r="H52" t="str">
            <v>Nicanor</v>
          </cell>
          <cell r="I52" t="str">
            <v>Mejia Mariscal</v>
          </cell>
          <cell r="K52" t="str">
            <v>ICO980722M04</v>
          </cell>
          <cell r="V52">
            <v>42545</v>
          </cell>
          <cell r="AA52" t="str">
            <v>Construcción de estacionamiento con pavimento asfáltico y sello tipo Slurry Seal, guarniciones, banquetas, adecuaciones a la instalación eléctrica y aire acondicionado en el archivo histórico de Zapopan, Municipio de Zapopan, Jalisco.</v>
          </cell>
          <cell r="AD52">
            <v>42548</v>
          </cell>
          <cell r="AE52">
            <v>42607</v>
          </cell>
        </row>
        <row r="53">
          <cell r="C53" t="str">
            <v>DOPI-MUN-RM-PROY-AD-079-2016</v>
          </cell>
          <cell r="G53" t="str">
            <v>Juan Ramón</v>
          </cell>
          <cell r="H53" t="str">
            <v>Ramírez</v>
          </cell>
          <cell r="I53" t="str">
            <v>Alatorre</v>
          </cell>
          <cell r="K53" t="str">
            <v>QGE080213988</v>
          </cell>
          <cell r="V53">
            <v>42545</v>
          </cell>
          <cell r="AA53" t="str">
            <v>Proyecto ejecutivo para la construcción de la celda 5 en el relleno sanitario Picachos, Municipio de Zapopan, Jalisco.</v>
          </cell>
          <cell r="AD53">
            <v>42548</v>
          </cell>
          <cell r="AE53">
            <v>42592</v>
          </cell>
        </row>
        <row r="54">
          <cell r="C54" t="str">
            <v>DOPI-MUN-RM-MOV-AD-080-2016</v>
          </cell>
          <cell r="G54" t="str">
            <v>Jorge Alberto</v>
          </cell>
          <cell r="H54" t="str">
            <v>Mena</v>
          </cell>
          <cell r="I54" t="str">
            <v>Adames</v>
          </cell>
          <cell r="K54" t="str">
            <v>DIV010905510</v>
          </cell>
          <cell r="V54">
            <v>42552</v>
          </cell>
          <cell r="AA54" t="str">
            <v>Señalización vertical y horizontal en diferentes obras del municipio de Zapopan, Jalisco, frente 1.</v>
          </cell>
          <cell r="AD54">
            <v>42555</v>
          </cell>
          <cell r="AE54">
            <v>42724</v>
          </cell>
        </row>
        <row r="55">
          <cell r="C55" t="str">
            <v>DOPI-MUN-RM-PAV-AD-081-2016</v>
          </cell>
          <cell r="G55" t="str">
            <v>Miguel</v>
          </cell>
          <cell r="H55" t="str">
            <v>Rodríguez</v>
          </cell>
          <cell r="I55" t="str">
            <v>Rosas</v>
          </cell>
          <cell r="K55" t="str">
            <v>SCO0102137E1</v>
          </cell>
          <cell r="V55">
            <v>42552</v>
          </cell>
          <cell r="AA55" t="str">
            <v>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v>
          </cell>
          <cell r="AD55">
            <v>42555</v>
          </cell>
          <cell r="AE55">
            <v>42613</v>
          </cell>
        </row>
        <row r="56">
          <cell r="C56" t="str">
            <v>DOPI-MUN-RM-PAV-AD-082-2016</v>
          </cell>
          <cell r="G56" t="str">
            <v xml:space="preserve">José Luis </v>
          </cell>
          <cell r="H56" t="str">
            <v xml:space="preserve">Castillo </v>
          </cell>
          <cell r="I56" t="str">
            <v>Rodríguez</v>
          </cell>
          <cell r="K56" t="str">
            <v>FCO9911092V5</v>
          </cell>
          <cell r="V56">
            <v>42555</v>
          </cell>
          <cell r="AA56" t="str">
            <v>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v>
          </cell>
          <cell r="AD56">
            <v>42556</v>
          </cell>
          <cell r="AE56">
            <v>42585</v>
          </cell>
        </row>
        <row r="57">
          <cell r="C57" t="str">
            <v>DOPI-MUN-RM-OC-AD-083-2016</v>
          </cell>
          <cell r="G57" t="str">
            <v>José Gilberto</v>
          </cell>
          <cell r="H57" t="str">
            <v>Luján</v>
          </cell>
          <cell r="I57" t="str">
            <v>Barajas</v>
          </cell>
          <cell r="K57" t="str">
            <v>GIN1202272F9</v>
          </cell>
          <cell r="V57">
            <v>42555</v>
          </cell>
          <cell r="AA57" t="str">
            <v>Corrección de canal pluvial, construcción de mamposteos, zampeados, puente peatonal, accesos y aproches en el cruce del arroyo ubicado en la colonia Las Higueras, municipio de Zapopan, Jalisco.</v>
          </cell>
          <cell r="AD57">
            <v>42556</v>
          </cell>
          <cell r="AE57">
            <v>42615</v>
          </cell>
        </row>
        <row r="58">
          <cell r="C58" t="str">
            <v>DOPI-MUN-RM-BAN-AD-126-2016</v>
          </cell>
          <cell r="M58" t="str">
            <v>Guillermo</v>
          </cell>
          <cell r="N58" t="str">
            <v>Lara</v>
          </cell>
          <cell r="O58" t="str">
            <v>Vargas</v>
          </cell>
          <cell r="Q58" t="str">
            <v>DGL060620SUA</v>
          </cell>
          <cell r="V58">
            <v>42559</v>
          </cell>
          <cell r="AA58" t="str">
            <v>Peatonalización, construcción de banquetas, sustitución de guarniciones, bolardos, complemento de reencarpetado y sello tramo 1 de la Av. Pablo Neruda, municipio de Zapopan, Jalisco</v>
          </cell>
          <cell r="AD58">
            <v>42562</v>
          </cell>
          <cell r="AE58">
            <v>42598</v>
          </cell>
        </row>
        <row r="59">
          <cell r="C59" t="str">
            <v>DOPI-MUN-RM-PAV-AD-127-2016</v>
          </cell>
          <cell r="M59" t="str">
            <v>David Eduardo</v>
          </cell>
          <cell r="N59" t="str">
            <v>Lara</v>
          </cell>
          <cell r="O59" t="str">
            <v>Ochoa</v>
          </cell>
          <cell r="Q59" t="str">
            <v>CIC080626ER2</v>
          </cell>
          <cell r="V59">
            <v>42559</v>
          </cell>
          <cell r="AA59" t="str">
            <v>Peatonalización, construcción de banquetas, sustitución de guarniciones, bolardos, complemento de reencarpetado y sello tramo 2 de la Av. Pablo Neruda, municipio de Zapopan, Jalisco</v>
          </cell>
          <cell r="AD59">
            <v>42562</v>
          </cell>
          <cell r="AE59">
            <v>42598</v>
          </cell>
        </row>
        <row r="60">
          <cell r="C60" t="str">
            <v>DOPI-MUN-RM-PAV-AD-128-2016</v>
          </cell>
          <cell r="M60" t="str">
            <v>Adalberto</v>
          </cell>
          <cell r="N60" t="str">
            <v>Medina</v>
          </cell>
          <cell r="O60" t="str">
            <v>Morales</v>
          </cell>
          <cell r="Q60" t="str">
            <v>URD130830U21</v>
          </cell>
          <cell r="V60">
            <v>42566</v>
          </cell>
          <cell r="AA60" t="str">
            <v>Construcción de banquetas, bolardos, sustitución de rejillas pluviales, rehabilitación de bocas de tormenta, aproches y arbolado en el tramo poniente de la Glorieta Venustiano Carranza en la colonia Constitución, municipio de Zapopan, Jalisco</v>
          </cell>
          <cell r="AD60">
            <v>42569</v>
          </cell>
          <cell r="AE60">
            <v>42613</v>
          </cell>
        </row>
        <row r="61">
          <cell r="C61" t="str">
            <v>DOPI-MUN-RM-PAV-AD-129-2016</v>
          </cell>
          <cell r="M61" t="str">
            <v>Arturo Rafael</v>
          </cell>
          <cell r="N61" t="str">
            <v>Salazar</v>
          </cell>
          <cell r="O61" t="str">
            <v>Martín del Campo</v>
          </cell>
          <cell r="Q61" t="str">
            <v>KCO030922UM6</v>
          </cell>
          <cell r="V61">
            <v>42566</v>
          </cell>
          <cell r="AA61" t="str">
            <v>Construcción de banquetas, bolardos, sustitución de rejillas pluviales, rehabilitación de bocas de tormenta, aproches y arbolado en el tramo oriente de la Glorieta Venustiano Carranza en la colonia Constitución, municipio de Zapopan, Jalisco</v>
          </cell>
          <cell r="AD61">
            <v>42569</v>
          </cell>
          <cell r="AE61">
            <v>42613</v>
          </cell>
        </row>
        <row r="62">
          <cell r="C62" t="str">
            <v>DOPI-MUN-RM-PAV-AD-130-2016</v>
          </cell>
          <cell r="M62" t="str">
            <v>Sergio Cesar</v>
          </cell>
          <cell r="N62" t="str">
            <v>Díaz</v>
          </cell>
          <cell r="O62" t="str">
            <v>Quiroz</v>
          </cell>
          <cell r="Q62" t="str">
            <v>TRA750528286</v>
          </cell>
          <cell r="V62">
            <v>42566</v>
          </cell>
          <cell r="AA62" t="str">
            <v>Construcción de Motor Lobby con concreto hidráulico en la plazoleta, plazoleta de acceso, acceso a estacionamiento y colocación de arbolado en la Glorieta Venustiano Carranza colonia Constitución, municipio de Zapopan, Jalisco</v>
          </cell>
          <cell r="AD62">
            <v>42569</v>
          </cell>
          <cell r="AE62">
            <v>42613</v>
          </cell>
        </row>
        <row r="63">
          <cell r="C63" t="str">
            <v>DOPI-MUN-RM-PAV-AD-131-2016</v>
          </cell>
          <cell r="M63" t="str">
            <v>Aurora Lucia</v>
          </cell>
          <cell r="N63" t="str">
            <v xml:space="preserve">Brenez </v>
          </cell>
          <cell r="O63" t="str">
            <v>Garnica</v>
          </cell>
          <cell r="Q63" t="str">
            <v>KUC070424344</v>
          </cell>
          <cell r="V63">
            <v>42566</v>
          </cell>
          <cell r="AA63" t="str">
            <v>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v>
          </cell>
          <cell r="AD63">
            <v>42569</v>
          </cell>
          <cell r="AE63">
            <v>42628</v>
          </cell>
        </row>
        <row r="64">
          <cell r="C64" t="str">
            <v>DOPI-MUN-RM-OC-AD-132-2016</v>
          </cell>
          <cell r="M64" t="str">
            <v>Alberto</v>
          </cell>
          <cell r="N64" t="str">
            <v>Bañuelos</v>
          </cell>
          <cell r="O64" t="str">
            <v>García</v>
          </cell>
          <cell r="Q64" t="str">
            <v>GCO100226SU6</v>
          </cell>
          <cell r="V64">
            <v>42566</v>
          </cell>
          <cell r="AA64" t="str">
            <v>Demolición de viviendas abandonadas, reforzamiento de taludes y adecuaciones sanitarias en la zona de inundación y canal de la Martinica, municipio de Zapopan Jalisco.</v>
          </cell>
          <cell r="AD64">
            <v>42569</v>
          </cell>
          <cell r="AE64">
            <v>42598</v>
          </cell>
        </row>
        <row r="65">
          <cell r="C65" t="str">
            <v>DOPI-MUN-RM-OC-AD-133-2016</v>
          </cell>
          <cell r="M65" t="str">
            <v>Hector Eugenio</v>
          </cell>
          <cell r="N65" t="str">
            <v>De la Torre</v>
          </cell>
          <cell r="O65" t="str">
            <v>Menchaca</v>
          </cell>
          <cell r="Q65" t="str">
            <v>ITO951005HY5</v>
          </cell>
          <cell r="V65">
            <v>42566</v>
          </cell>
          <cell r="AA65" t="str">
            <v>Rectificación, rehabilitación y desazolve del arroyo La Campana; Adecuaciones hidráulicas y pluviales en las colindancias del nodo vial Santa Esther y Periférico; y reconstrucción de banquetas en Avenida Central, municipio de Zapopan, Jalisco</v>
          </cell>
          <cell r="AD65">
            <v>42569</v>
          </cell>
          <cell r="AE65">
            <v>42614</v>
          </cell>
        </row>
        <row r="66">
          <cell r="C66" t="str">
            <v>DOPI-MUN-RM-OC-AD-134-2016</v>
          </cell>
          <cell r="M66" t="str">
            <v>Heliodoro Nicolás</v>
          </cell>
          <cell r="N66" t="str">
            <v>Aceves</v>
          </cell>
          <cell r="O66" t="str">
            <v>Orozco</v>
          </cell>
          <cell r="Q66" t="str">
            <v>IMA050204LA9</v>
          </cell>
          <cell r="V66">
            <v>42578</v>
          </cell>
          <cell r="AA66" t="str">
            <v>Construcción y reforzamiento de bordos primera etapa en el ejido de Santa Lucia, municipio de Zapopan, Jalisco.</v>
          </cell>
          <cell r="AD66">
            <v>42579</v>
          </cell>
          <cell r="AE66">
            <v>42698</v>
          </cell>
        </row>
        <row r="67">
          <cell r="C67" t="str">
            <v>DOPI-MUN-RM-EP-AD-135-2016</v>
          </cell>
          <cell r="M67" t="str">
            <v>Maria Eugenia</v>
          </cell>
          <cell r="N67" t="str">
            <v>Cortés</v>
          </cell>
          <cell r="O67" t="str">
            <v>González</v>
          </cell>
          <cell r="Q67" t="str">
            <v>ASP100215RH9</v>
          </cell>
          <cell r="V67">
            <v>42587</v>
          </cell>
          <cell r="Y67">
            <v>1494650.15</v>
          </cell>
          <cell r="AA67" t="str">
            <v>Obra complementaria en el parque El Polvorin II, municipio de Zapopan, Jalisco.</v>
          </cell>
          <cell r="AD67">
            <v>42591</v>
          </cell>
          <cell r="AE67">
            <v>42613</v>
          </cell>
        </row>
        <row r="68">
          <cell r="C68" t="str">
            <v>DOPI-MUN-RM-PROY-AD-136-2016</v>
          </cell>
          <cell r="M68" t="str">
            <v>José Alejandro</v>
          </cell>
          <cell r="N68" t="str">
            <v>Alva</v>
          </cell>
          <cell r="O68" t="str">
            <v>Delgado</v>
          </cell>
          <cell r="Q68" t="str">
            <v>SOC150806E69</v>
          </cell>
          <cell r="V68">
            <v>42586</v>
          </cell>
          <cell r="Y68">
            <v>602435.48</v>
          </cell>
          <cell r="AA68" t="str">
            <v>Estudios de mecánica de suelos y diseño de pavimentos de diferentes obras 2016, segunda etapa, del municipio de Zapopan, Jalisco.</v>
          </cell>
          <cell r="AD68">
            <v>42591</v>
          </cell>
          <cell r="AE68">
            <v>42735</v>
          </cell>
        </row>
        <row r="69">
          <cell r="C69" t="str">
            <v>DOPI-MUN-RM-AP-AD-137-2016</v>
          </cell>
          <cell r="M69" t="str">
            <v>Javier</v>
          </cell>
          <cell r="N69" t="str">
            <v xml:space="preserve">Ávila </v>
          </cell>
          <cell r="O69" t="str">
            <v>Flores</v>
          </cell>
          <cell r="Q69" t="str">
            <v>SCC060622HZ3</v>
          </cell>
          <cell r="V69">
            <v>42594</v>
          </cell>
          <cell r="Y69">
            <v>1435250.48</v>
          </cell>
          <cell r="AA69" t="str">
            <v>Complemento de red de agua potable y tomas domiciliarias en la localidad de Milpillas, municipio de Zapopan, Jalisco</v>
          </cell>
          <cell r="AD69">
            <v>42597</v>
          </cell>
          <cell r="AE69">
            <v>42643</v>
          </cell>
        </row>
        <row r="70">
          <cell r="C70" t="str">
            <v>DOPI-MUN-RM-IM-AD-138-2016</v>
          </cell>
          <cell r="M70" t="str">
            <v>Oscar Luis</v>
          </cell>
          <cell r="N70" t="str">
            <v xml:space="preserve"> Chávez</v>
          </cell>
          <cell r="O70" t="str">
            <v>González</v>
          </cell>
          <cell r="Q70" t="str">
            <v>ETR070417NS8</v>
          </cell>
          <cell r="V70">
            <v>42607</v>
          </cell>
          <cell r="Y70">
            <v>1308547.98</v>
          </cell>
          <cell r="AA70" t="str">
            <v>Complemento de la construcción de muro oriente, rehabilitación de banquetas e instalación de malla ciclón en el Panteón Municipal ubicado en la localidad de Santa Ana Tepetitlán, municipio de Zapopan, Jalisco.</v>
          </cell>
          <cell r="AD70">
            <v>42611</v>
          </cell>
          <cell r="AE70">
            <v>42655</v>
          </cell>
        </row>
        <row r="71">
          <cell r="C71" t="str">
            <v>DOPI-MUN-RM-IM-AD-139-2016</v>
          </cell>
          <cell r="M71" t="str">
            <v>Víctor Eduardo</v>
          </cell>
          <cell r="N71" t="str">
            <v>López</v>
          </cell>
          <cell r="O71" t="str">
            <v>Carpio</v>
          </cell>
          <cell r="Q71" t="str">
            <v>CIN101029PR5</v>
          </cell>
          <cell r="V71">
            <v>42607</v>
          </cell>
          <cell r="Y71">
            <v>1485649.36</v>
          </cell>
          <cell r="AA71" t="str">
            <v>Construcción de muro, banquetas, instalación de malla ciclón en el Panteón municipal ubicado en Atemajac, municipio de Zapopan, Jalisco</v>
          </cell>
          <cell r="AD71">
            <v>42611</v>
          </cell>
          <cell r="AE71">
            <v>42670</v>
          </cell>
        </row>
        <row r="72">
          <cell r="C72" t="str">
            <v>DOPI-MUN-RM-PAV-AD-159-2016</v>
          </cell>
          <cell r="M72" t="str">
            <v>José Jaime</v>
          </cell>
          <cell r="N72" t="str">
            <v>Camarena</v>
          </cell>
          <cell r="O72" t="str">
            <v>Correa</v>
          </cell>
          <cell r="Q72" t="str">
            <v>FCO110711N24</v>
          </cell>
          <cell r="V72">
            <v>42613</v>
          </cell>
          <cell r="Y72">
            <v>1439734.18</v>
          </cell>
          <cell r="AA72" t="str">
            <v>Sustitución de rejillas en bocas de tormenta en Avenida Patria ente Avila Camacho y Real Acueducto, en Avenida Tepeyac entre Manuel J. Clouthier y limite municipal, lateral Periférico en su cruce con Mariano Otero, municipio de Zapopan, Jalisco</v>
          </cell>
          <cell r="AD72">
            <v>42618</v>
          </cell>
          <cell r="AE72">
            <v>42658</v>
          </cell>
        </row>
        <row r="73">
          <cell r="C73" t="str">
            <v>DOPI-MUN-RM-PAV-AD-160-2016</v>
          </cell>
          <cell r="M73" t="str">
            <v>Luis Armando</v>
          </cell>
          <cell r="N73" t="str">
            <v>Linares</v>
          </cell>
          <cell r="O73" t="str">
            <v>Cacho</v>
          </cell>
          <cell r="Q73" t="str">
            <v>URC160310857</v>
          </cell>
          <cell r="V73">
            <v>42615</v>
          </cell>
          <cell r="Y73">
            <v>998750.24</v>
          </cell>
          <cell r="AA73" t="str">
            <v>Programa emergente de bacheo de vialidades en Zapopan Centro tramo 1, municipio de Zapopan, Jalisco.</v>
          </cell>
          <cell r="AD73">
            <v>42618</v>
          </cell>
          <cell r="AE73">
            <v>42674</v>
          </cell>
        </row>
        <row r="74">
          <cell r="C74" t="str">
            <v>DOPI-MUN-RM-PAV-AD-161-2016</v>
          </cell>
          <cell r="M74" t="str">
            <v>Orlando</v>
          </cell>
          <cell r="N74" t="str">
            <v>Hijar</v>
          </cell>
          <cell r="O74" t="str">
            <v>Casillas</v>
          </cell>
          <cell r="Q74" t="str">
            <v>CUC121107NV2</v>
          </cell>
          <cell r="V74">
            <v>42615</v>
          </cell>
          <cell r="Y74">
            <v>999587.49</v>
          </cell>
          <cell r="AA74" t="str">
            <v>Programa emergente de bacheo de vialidades en Zapopan Centro tramo 2, municipio de Zapopan, Jalisco.</v>
          </cell>
          <cell r="AD74">
            <v>42618</v>
          </cell>
          <cell r="AE74">
            <v>42674</v>
          </cell>
        </row>
        <row r="75">
          <cell r="C75" t="str">
            <v>DOPI-MUN-RM-PAV-AD-162-2016</v>
          </cell>
          <cell r="M75" t="str">
            <v>Ignacio Javier</v>
          </cell>
          <cell r="N75" t="str">
            <v>Curiel</v>
          </cell>
          <cell r="O75" t="str">
            <v>Dueñas</v>
          </cell>
          <cell r="Q75" t="str">
            <v>TCM100915HA1</v>
          </cell>
          <cell r="V75">
            <v>42615</v>
          </cell>
          <cell r="Y75">
            <v>1000115.36</v>
          </cell>
          <cell r="AA75" t="str">
            <v>Programa emergente de bacheo de vialidades en Zapopan Sur tramo 1, municipio de Zapopan, Jalisco.</v>
          </cell>
          <cell r="AD75">
            <v>42618</v>
          </cell>
          <cell r="AE75">
            <v>42674</v>
          </cell>
        </row>
        <row r="76">
          <cell r="C76" t="str">
            <v>DOPI-MUN-RM-PAV-AD-163-2016</v>
          </cell>
          <cell r="M76" t="str">
            <v>Regino</v>
          </cell>
          <cell r="N76" t="str">
            <v>Ruiz del Campo</v>
          </cell>
          <cell r="O76" t="str">
            <v>Medina</v>
          </cell>
          <cell r="Q76" t="str">
            <v>RUMR771116UA8</v>
          </cell>
          <cell r="V76">
            <v>42615</v>
          </cell>
          <cell r="Y76">
            <v>1001250.87</v>
          </cell>
          <cell r="AA76" t="str">
            <v>Programa emergente de bacheo de vialidades en Zapopan Sur Poniente tramo 1, municipio de Zapopan, Jalisco.</v>
          </cell>
          <cell r="AD76">
            <v>42618</v>
          </cell>
          <cell r="AE76">
            <v>42674</v>
          </cell>
        </row>
        <row r="77">
          <cell r="C77" t="str">
            <v>DOPI-MUN-RM-PAV-AD-164-2016</v>
          </cell>
          <cell r="M77" t="str">
            <v>Carlos Ignacio</v>
          </cell>
          <cell r="N77" t="str">
            <v>Curiel</v>
          </cell>
          <cell r="O77" t="str">
            <v>Dueñas</v>
          </cell>
          <cell r="Q77" t="str">
            <v>CCE130723IR7</v>
          </cell>
          <cell r="V77">
            <v>42615</v>
          </cell>
          <cell r="Y77">
            <v>1002128.72</v>
          </cell>
          <cell r="AA77" t="str">
            <v>Programa emergente de bacheo de vialidades en Zapopan Sur Poniente tramo 2, municipio de Zapopan, Jalsico</v>
          </cell>
          <cell r="AD77">
            <v>42618</v>
          </cell>
          <cell r="AE77">
            <v>42674</v>
          </cell>
        </row>
        <row r="78">
          <cell r="C78" t="str">
            <v>DOPI-MUN-RM-PAV-AD-165-2016</v>
          </cell>
          <cell r="M78" t="str">
            <v>Antonio</v>
          </cell>
          <cell r="N78" t="str">
            <v>Chávez</v>
          </cell>
          <cell r="O78" t="str">
            <v>Navarro</v>
          </cell>
          <cell r="Q78" t="str">
            <v>CIC960718BW4</v>
          </cell>
          <cell r="V78">
            <v>42615</v>
          </cell>
          <cell r="Y78">
            <v>997115.6</v>
          </cell>
          <cell r="AA78" t="str">
            <v>Programa emergente de bacheo de vialidades en Zapopan Poniente tramo 1, municipio de Zapopan, Jalsico</v>
          </cell>
          <cell r="AD78">
            <v>42618</v>
          </cell>
          <cell r="AE78">
            <v>42674</v>
          </cell>
        </row>
        <row r="79">
          <cell r="C79" t="str">
            <v>DOPI-MUN-RM-PAV-AD-166-2016</v>
          </cell>
          <cell r="M79" t="str">
            <v>Raquel</v>
          </cell>
          <cell r="N79" t="str">
            <v>Chávez</v>
          </cell>
          <cell r="O79" t="str">
            <v>Navarro</v>
          </cell>
          <cell r="Q79" t="str">
            <v>ASO080408GY0</v>
          </cell>
          <cell r="V79">
            <v>42615</v>
          </cell>
          <cell r="Y79">
            <v>1003154.53</v>
          </cell>
          <cell r="AA79" t="str">
            <v>Programa emergente de bacheo de vialidades en Zapopan Poniente tramo 2, municipio de Zapopan, Jalsico</v>
          </cell>
          <cell r="AD79">
            <v>42618</v>
          </cell>
          <cell r="AE79">
            <v>42674</v>
          </cell>
        </row>
        <row r="80">
          <cell r="C80" t="str">
            <v>DOPI-MUN-RM-PAV-AD-167-2016</v>
          </cell>
          <cell r="M80" t="str">
            <v xml:space="preserve">Guillermo Emmanuel </v>
          </cell>
          <cell r="N80" t="str">
            <v xml:space="preserve">Lara </v>
          </cell>
          <cell r="O80" t="str">
            <v>Ochoa</v>
          </cell>
          <cell r="Q80" t="str">
            <v>AGC070223J95</v>
          </cell>
          <cell r="V80">
            <v>42615</v>
          </cell>
          <cell r="Y80">
            <v>990472.15</v>
          </cell>
          <cell r="AA80" t="str">
            <v>Programa emergente de bacheo de vialidades en Zapopan Norponiente tramo 1, municipio de Zapopan, Jalisco.</v>
          </cell>
          <cell r="AD80">
            <v>42618</v>
          </cell>
          <cell r="AE80">
            <v>42674</v>
          </cell>
        </row>
        <row r="81">
          <cell r="C81" t="str">
            <v>DOPI-MUN-RM-PAV-AD-168-2016</v>
          </cell>
          <cell r="M81" t="str">
            <v>Aurora Lucia</v>
          </cell>
          <cell r="N81" t="str">
            <v xml:space="preserve">Brenez </v>
          </cell>
          <cell r="O81" t="str">
            <v>Garnica</v>
          </cell>
          <cell r="Q81" t="str">
            <v>KUC070424344</v>
          </cell>
          <cell r="V81">
            <v>42615</v>
          </cell>
          <cell r="Y81">
            <v>988477.86</v>
          </cell>
          <cell r="AA81" t="str">
            <v>Programa emergente de bacheo de vialidades en Zapopan Norponiente tramo 2, municipio de Zapopan, Jalsico</v>
          </cell>
          <cell r="AD81">
            <v>42618</v>
          </cell>
          <cell r="AE81">
            <v>42674</v>
          </cell>
        </row>
        <row r="82">
          <cell r="C82" t="str">
            <v>DOPI-MUN-RM-PAV-AD-169-2016</v>
          </cell>
          <cell r="M82" t="str">
            <v>Carlos Felipe</v>
          </cell>
          <cell r="N82" t="str">
            <v>Vázquez</v>
          </cell>
          <cell r="O82" t="str">
            <v>Guerra</v>
          </cell>
          <cell r="Q82" t="str">
            <v>UVG841211G22</v>
          </cell>
          <cell r="V82">
            <v>42615</v>
          </cell>
          <cell r="Y82">
            <v>996236.89</v>
          </cell>
          <cell r="AA82" t="str">
            <v>Programa emergente de bacheo de vialidades en Zapopan Norte tramo 1, municipio de Zapopan, Jalsico</v>
          </cell>
          <cell r="AD82">
            <v>42618</v>
          </cell>
          <cell r="AE82">
            <v>42674</v>
          </cell>
        </row>
        <row r="83">
          <cell r="C83" t="str">
            <v>DOPI-MUN-RM-ELE-AD-170-2016</v>
          </cell>
          <cell r="M83" t="str">
            <v>Pia Lorena</v>
          </cell>
          <cell r="N83" t="str">
            <v>Buenrostro</v>
          </cell>
          <cell r="O83" t="str">
            <v>Ahued</v>
          </cell>
          <cell r="Q83" t="str">
            <v>BCO070129512</v>
          </cell>
          <cell r="V83">
            <v>42636</v>
          </cell>
          <cell r="Y83">
            <v>1492750.23</v>
          </cell>
          <cell r="AA83" t="str">
            <v>Trabajos complementarios de infraestructura eléctrica y de alumbrado público, frente 1, municipio de Zapopan, Jalisco</v>
          </cell>
          <cell r="AD83">
            <v>42639</v>
          </cell>
          <cell r="AE83">
            <v>42719</v>
          </cell>
        </row>
        <row r="84">
          <cell r="C84" t="str">
            <v>DOPI-MUN-RM-PAV-AD-171-2016</v>
          </cell>
          <cell r="M84" t="str">
            <v>Omar</v>
          </cell>
          <cell r="N84" t="str">
            <v>Mora</v>
          </cell>
          <cell r="O84" t="str">
            <v>Montes de Oca</v>
          </cell>
          <cell r="Q84" t="str">
            <v>DCO130215C16</v>
          </cell>
          <cell r="V84">
            <v>42622</v>
          </cell>
          <cell r="Y84">
            <v>1480115.18</v>
          </cell>
          <cell r="AA84" t="str">
            <v>Pavimentación con adoquín y empedrado tradicional con material producto de recuperación en diferentes vialidades en el Municipio de Zapopan, Jalisco</v>
          </cell>
          <cell r="AD84">
            <v>42624</v>
          </cell>
          <cell r="AE84">
            <v>42689</v>
          </cell>
        </row>
        <row r="85">
          <cell r="C85" t="str">
            <v>DOPI-MUN-RM-SIS-AD-172-2016</v>
          </cell>
          <cell r="M85" t="str">
            <v>Víctor Martín</v>
          </cell>
          <cell r="N85" t="str">
            <v>López</v>
          </cell>
          <cell r="O85" t="str">
            <v>Santos</v>
          </cell>
          <cell r="Q85" t="str">
            <v>DVI0903301U3</v>
          </cell>
          <cell r="V85">
            <v>42622</v>
          </cell>
          <cell r="Y85">
            <v>435640.37</v>
          </cell>
          <cell r="AA85" t="str">
            <v>Programación e implementación de sistema informático para la programación, contratación, control y seguimiento de ejecución de obra, elaboración de estimaciones y padrón de contratistas del Municipio de Zapopan, Jalisco</v>
          </cell>
          <cell r="AD85">
            <v>42624</v>
          </cell>
          <cell r="AE85">
            <v>42689</v>
          </cell>
        </row>
        <row r="86">
          <cell r="C86" t="str">
            <v>DOPI-MUN-RM-PAV-AD-181-2016</v>
          </cell>
          <cell r="M86" t="str">
            <v>RAFAEL AUGUSTO</v>
          </cell>
          <cell r="N86" t="str">
            <v>CABALLERO</v>
          </cell>
          <cell r="O86" t="str">
            <v>QUIRARTE</v>
          </cell>
          <cell r="Q86" t="str">
            <v>PAT110331HH0</v>
          </cell>
          <cell r="V86">
            <v>42653</v>
          </cell>
          <cell r="Y86">
            <v>1494945.36</v>
          </cell>
          <cell r="AA86" t="str">
            <v>Programa emergente de bacheo de vialidades en Zapopan Norte tramo 2, municipio de Zapopan, Jalisco.</v>
          </cell>
          <cell r="AD86">
            <v>42654</v>
          </cell>
          <cell r="AE86">
            <v>42710</v>
          </cell>
        </row>
        <row r="87">
          <cell r="C87" t="str">
            <v>DOPI-MUN-RM-PAV-AD-182-2016</v>
          </cell>
          <cell r="M87" t="str">
            <v>ENRIQUE</v>
          </cell>
          <cell r="N87" t="str">
            <v>LUGO</v>
          </cell>
          <cell r="O87" t="str">
            <v>IBARRA</v>
          </cell>
          <cell r="Q87" t="str">
            <v>LIC0208141P8</v>
          </cell>
          <cell r="V87">
            <v>42650</v>
          </cell>
          <cell r="Y87">
            <v>1498832.34</v>
          </cell>
          <cell r="AA87" t="str">
            <v>Rehabilitación de machuelos de concreto hidráulico en la Av. Juan Gil Preciado, tramo 1, municipio de Zapopan, Jalisco.</v>
          </cell>
          <cell r="AD87">
            <v>42653</v>
          </cell>
          <cell r="AE87">
            <v>42712</v>
          </cell>
        </row>
        <row r="88">
          <cell r="C88" t="str">
            <v>DOPI-MUN-RM-PAV-AD-183-2016</v>
          </cell>
          <cell r="M88" t="str">
            <v>ARTURO</v>
          </cell>
          <cell r="N88" t="str">
            <v>SARMIENTO</v>
          </cell>
          <cell r="O88" t="str">
            <v>SANCHEZ</v>
          </cell>
          <cell r="Q88" t="str">
            <v>CON020208696</v>
          </cell>
          <cell r="V88">
            <v>42650</v>
          </cell>
          <cell r="Y88">
            <v>1492150.48</v>
          </cell>
          <cell r="AA88" t="str">
            <v>Rehabilitación de machuelos de concreto hidráulico en la Av. Juan Gil Preciado, tramo 2, municipio de Zapopan, Jalisco.</v>
          </cell>
          <cell r="AD88">
            <v>42653</v>
          </cell>
          <cell r="AE88">
            <v>42712</v>
          </cell>
        </row>
        <row r="89">
          <cell r="C89" t="str">
            <v>DOPI-MUN-RM-DP-AD-184-2016</v>
          </cell>
          <cell r="M89" t="str">
            <v xml:space="preserve">EDUARDO </v>
          </cell>
          <cell r="N89" t="str">
            <v>ROMERO</v>
          </cell>
          <cell r="O89" t="str">
            <v>LUGO</v>
          </cell>
          <cell r="Q89" t="str">
            <v>ROS120904PV9</v>
          </cell>
          <cell r="V89">
            <v>42653</v>
          </cell>
          <cell r="Y89">
            <v>1478083.67</v>
          </cell>
          <cell r="AA89" t="str">
            <v>Construcción de colector pluvial en el camino al Arenero, municipio de Zapopan, Jalisco.</v>
          </cell>
          <cell r="AD89">
            <v>42654</v>
          </cell>
          <cell r="AE89">
            <v>42678</v>
          </cell>
        </row>
        <row r="90">
          <cell r="C90" t="str">
            <v>DOPI-MUN-RM-PROY-AD-185-2016</v>
          </cell>
          <cell r="M90" t="str">
            <v>ENRIQUE FRANCISCO</v>
          </cell>
          <cell r="N90" t="str">
            <v>TOUSSAINT</v>
          </cell>
          <cell r="O90" t="str">
            <v>OCHOA</v>
          </cell>
          <cell r="Q90" t="str">
            <v>GAT920520R72</v>
          </cell>
          <cell r="V90">
            <v>42653</v>
          </cell>
          <cell r="Y90">
            <v>986034.8</v>
          </cell>
          <cell r="AA90" t="str">
            <v>Proyecto ejecutivo de la renovación y ampliación del Museo de Arte de Zapopan, ubicado en el Andador 20 de Noviembre y la calle 28 de Enero, en la cabecera municipal, de Zapopan, Jalisco.</v>
          </cell>
          <cell r="AD90">
            <v>42654</v>
          </cell>
          <cell r="AE90">
            <v>42750</v>
          </cell>
        </row>
        <row r="91">
          <cell r="C91" t="str">
            <v>DOPI-MUN-RM-DP-AD-186-2016</v>
          </cell>
          <cell r="M91" t="str">
            <v>JAVIER</v>
          </cell>
          <cell r="N91" t="str">
            <v xml:space="preserve">ÁVILA </v>
          </cell>
          <cell r="O91" t="str">
            <v>FLORES</v>
          </cell>
          <cell r="Q91" t="str">
            <v>SCC060622HZ3</v>
          </cell>
          <cell r="V91">
            <v>42653</v>
          </cell>
          <cell r="Y91">
            <v>1479766.1</v>
          </cell>
          <cell r="AA91" t="str">
            <v>Solución Pluvial en Tesistán (colector pluvial de 36" y bocas de tormenta) en la calle Jalisco, Hidalgo, Puebla, en la localidad de Tesistán, municipio de Zapopan, Jalisco. Frente 1.</v>
          </cell>
          <cell r="AD91">
            <v>42654</v>
          </cell>
          <cell r="AE91">
            <v>42704</v>
          </cell>
        </row>
        <row r="92">
          <cell r="C92" t="str">
            <v>DOPI-MUN-RM-IE-AD-187-2016</v>
          </cell>
          <cell r="M92" t="str">
            <v>AARON</v>
          </cell>
          <cell r="N92" t="str">
            <v>AMARAL</v>
          </cell>
          <cell r="O92" t="str">
            <v>LOPEZ</v>
          </cell>
          <cell r="Q92" t="str">
            <v>GCC1102098R8</v>
          </cell>
          <cell r="V92">
            <v>42664</v>
          </cell>
          <cell r="Y92">
            <v>998756.32</v>
          </cell>
          <cell r="AA92" t="str">
            <v>Suministro y colocación de estructuras de protección de rayos ultravioleta y sustitución de losas de concreto en el plantel educativo Gustavo Diaz Ordaz, clave 14EPR1473U, colonia Gustavo Diaz Ordaz, Municipio de Zapopan, Jalisco.</v>
          </cell>
          <cell r="AD92">
            <v>42667</v>
          </cell>
          <cell r="AE92">
            <v>42726</v>
          </cell>
        </row>
        <row r="93">
          <cell r="C93" t="str">
            <v>DOPI-MUN-RM-AP-AD-212-2016</v>
          </cell>
          <cell r="M93" t="str">
            <v xml:space="preserve">HECTOR DAVID </v>
          </cell>
          <cell r="N93" t="str">
            <v>ROBLES</v>
          </cell>
          <cell r="O93" t="str">
            <v>ROBLES</v>
          </cell>
          <cell r="Q93" t="str">
            <v>EDS001103AJ2</v>
          </cell>
          <cell r="V93">
            <v>42653</v>
          </cell>
          <cell r="Y93">
            <v>1498750.44</v>
          </cell>
          <cell r="AA93" t="str">
            <v>Construcción de linea de agua potable, drenaje sanitario y linea de alejamiento en la calle La grana y calle Rastro, en la colonia San Isidro, municipio de Zapopan, Jalisco.</v>
          </cell>
          <cell r="AD93">
            <v>42654</v>
          </cell>
          <cell r="AE93">
            <v>42698</v>
          </cell>
        </row>
        <row r="94">
          <cell r="C94" t="str">
            <v>DOPI-MUN-RM-IM-AD-213-2016</v>
          </cell>
          <cell r="M94" t="str">
            <v>NORMA FABIOLA</v>
          </cell>
          <cell r="N94" t="str">
            <v>RODRIGUEZ</v>
          </cell>
          <cell r="O94" t="str">
            <v>CASTILLO</v>
          </cell>
          <cell r="Q94" t="str">
            <v>PUR071001L23</v>
          </cell>
          <cell r="V94">
            <v>42647</v>
          </cell>
          <cell r="Y94">
            <v>932552.22</v>
          </cell>
          <cell r="AA94" t="str">
            <v>Suministro e instalación de piso de danza flotado de duela de Maple en el escenario del auditorio del Centro Cultural Constitución, ,municipio de Zapopan, Jalisco.</v>
          </cell>
          <cell r="AD94">
            <v>42648</v>
          </cell>
          <cell r="AE94">
            <v>42677</v>
          </cell>
        </row>
        <row r="95">
          <cell r="C95" t="str">
            <v>DOPI-MUN-RM-PROY-AD-215-2016</v>
          </cell>
          <cell r="M95" t="str">
            <v>LUIS ERNESTO</v>
          </cell>
          <cell r="N95" t="str">
            <v>GONZALEZ</v>
          </cell>
          <cell r="O95" t="str">
            <v>LOZANO</v>
          </cell>
          <cell r="Q95" t="str">
            <v>TIN04100824A</v>
          </cell>
          <cell r="V95">
            <v>42657</v>
          </cell>
          <cell r="Y95">
            <v>1350125.87</v>
          </cell>
          <cell r="AA95" t="str">
            <v>Estudios básicos topográficos para diferentes obras 2016, segunda etapa, del municipio de Zapopan, Jalisco.</v>
          </cell>
          <cell r="AD95">
            <v>42660</v>
          </cell>
          <cell r="AE95">
            <v>42735</v>
          </cell>
        </row>
        <row r="96">
          <cell r="C96" t="str">
            <v>DOPI-MUN-RM-PAV-AD-216-2016</v>
          </cell>
          <cell r="M96" t="str">
            <v>ESPERANZA</v>
          </cell>
          <cell r="N96" t="str">
            <v>CORONA</v>
          </cell>
          <cell r="O96" t="str">
            <v>JUAREZ</v>
          </cell>
          <cell r="Q96" t="str">
            <v>ISA071206P64</v>
          </cell>
          <cell r="V96">
            <v>42674</v>
          </cell>
          <cell r="Y96">
            <v>1492596.99</v>
          </cell>
          <cell r="AA96" t="str">
            <v>Programa emergente de bacheo de vialidades en Zapopan Norte, tramo 3, municipio de Zapopan, Jalisco.</v>
          </cell>
          <cell r="AD96">
            <v>42675</v>
          </cell>
          <cell r="AE96">
            <v>42734</v>
          </cell>
        </row>
        <row r="97">
          <cell r="C97" t="str">
            <v>DOPI-MUN-RM-IM-AD-217-2016</v>
          </cell>
          <cell r="M97" t="str">
            <v xml:space="preserve">RAFAEL </v>
          </cell>
          <cell r="N97" t="str">
            <v>OROZCO</v>
          </cell>
          <cell r="O97" t="str">
            <v>MARTINEZ</v>
          </cell>
          <cell r="Q97" t="str">
            <v>CCO020123366</v>
          </cell>
          <cell r="V97">
            <v>42657</v>
          </cell>
          <cell r="Y97">
            <v>950216.14</v>
          </cell>
          <cell r="AA97" t="str">
            <v>Construcción de modulo de sanitarios, en el Panteón de Santa  Ana Tepetitlan, municipio de Zapopan, Jalisco.</v>
          </cell>
          <cell r="AD97">
            <v>42660</v>
          </cell>
          <cell r="AE97">
            <v>42714</v>
          </cell>
        </row>
        <row r="98">
          <cell r="C98" t="str">
            <v>DOPI-MUN-RM-PAV-AD-218-2016</v>
          </cell>
          <cell r="M98" t="str">
            <v>SALVADOR</v>
          </cell>
          <cell r="N98" t="str">
            <v>CASTRO</v>
          </cell>
          <cell r="O98" t="str">
            <v>GUZMAN</v>
          </cell>
          <cell r="Q98" t="str">
            <v>GCG041213LZ9</v>
          </cell>
          <cell r="V98">
            <v>42664</v>
          </cell>
          <cell r="Y98">
            <v>1494567.16</v>
          </cell>
          <cell r="AA98" t="str">
            <v>Construcción de pavimento de concreto hidráulico en la calle La Grana  y calle Rastro, en la colonia San Isidro, municipio de Zapopan, Jalisco.</v>
          </cell>
          <cell r="AD98">
            <v>42667</v>
          </cell>
          <cell r="AE98">
            <v>42726</v>
          </cell>
        </row>
        <row r="99">
          <cell r="C99" t="str">
            <v>DOPI-MUN-RM-DP-AD-219-2016</v>
          </cell>
          <cell r="M99" t="str">
            <v xml:space="preserve">RODOLFO </v>
          </cell>
          <cell r="N99" t="str">
            <v xml:space="preserve">VELAZQUEZ </v>
          </cell>
          <cell r="O99" t="str">
            <v>ORDOÑEZ</v>
          </cell>
          <cell r="Q99" t="str">
            <v>VIE110125RL4</v>
          </cell>
          <cell r="V99">
            <v>42653</v>
          </cell>
          <cell r="Y99">
            <v>1421736.05</v>
          </cell>
          <cell r="AA99" t="str">
            <v>Solución Pluvial en Tesistán (colector pluvial de 36" y bocas de tormenta) en la calle Jalisco, Hidalgo, Puebla, en la localidad de Tesistán, municipio de Zapopan, Jalisco. Frente 2.</v>
          </cell>
          <cell r="AD99">
            <v>42654</v>
          </cell>
          <cell r="AE99">
            <v>42704</v>
          </cell>
        </row>
        <row r="100">
          <cell r="C100" t="str">
            <v>DOPI-MUN-RM-IM-AD-220-2016</v>
          </cell>
          <cell r="M100" t="str">
            <v>JOSE ANTONIO</v>
          </cell>
          <cell r="N100" t="str">
            <v>ALVAREZ</v>
          </cell>
          <cell r="O100" t="str">
            <v>ZULOAGA</v>
          </cell>
          <cell r="Q100" t="str">
            <v>GDA150928286</v>
          </cell>
          <cell r="V100">
            <v>42647</v>
          </cell>
          <cell r="Y100">
            <v>1495360.54</v>
          </cell>
          <cell r="AA100" t="str">
            <v>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v>
          </cell>
          <cell r="AD100">
            <v>42648</v>
          </cell>
          <cell r="AE100">
            <v>42704</v>
          </cell>
        </row>
        <row r="101">
          <cell r="C101" t="str">
            <v>DOPI-MUN-RM-PAV-AD-221-2016</v>
          </cell>
          <cell r="M101" t="str">
            <v>JESUS DAVID</v>
          </cell>
          <cell r="N101" t="str">
            <v xml:space="preserve">GARZA </v>
          </cell>
          <cell r="O101" t="str">
            <v>GARCIA</v>
          </cell>
          <cell r="Q101" t="str">
            <v>CEA010615GT0</v>
          </cell>
          <cell r="V101">
            <v>42685</v>
          </cell>
          <cell r="Y101">
            <v>1358863.01</v>
          </cell>
          <cell r="AA101" t="str">
            <v>Pavimentación con concreto asfáltico en el paso inferior de Periférico Norte Manuel Gomez Morín en su cruce con la Av. Santa Margarita, municipio de Zapopan, Jalisco.</v>
          </cell>
          <cell r="AD101">
            <v>42688</v>
          </cell>
          <cell r="AE101">
            <v>42726</v>
          </cell>
        </row>
        <row r="102">
          <cell r="C102" t="str">
            <v>DOPI-MUN-RM-PAV-AD-222-2016</v>
          </cell>
          <cell r="M102" t="str">
            <v>ESTEBAN</v>
          </cell>
          <cell r="N102" t="str">
            <v>PEREZ</v>
          </cell>
          <cell r="O102" t="str">
            <v>MUÑOZ</v>
          </cell>
          <cell r="Q102" t="str">
            <v>GPC110927671</v>
          </cell>
          <cell r="V102">
            <v>42650</v>
          </cell>
          <cell r="Y102">
            <v>1447543.87</v>
          </cell>
          <cell r="AA102" t="str">
            <v>Construccion y rehabilitación de guarniciones, banquetas, obra complementaria en camellones en diferentes zonas del municipio de Zapopan, Jalisco, frente 1.</v>
          </cell>
          <cell r="AD102">
            <v>42651</v>
          </cell>
          <cell r="AE102">
            <v>42714</v>
          </cell>
        </row>
        <row r="103">
          <cell r="C103" t="str">
            <v>DOPI-MUN-RM-BAN-AD-223-2016</v>
          </cell>
          <cell r="M103" t="str">
            <v>ANGELICA</v>
          </cell>
          <cell r="N103" t="str">
            <v>VALDERRAMA</v>
          </cell>
          <cell r="O103" t="str">
            <v>CASTRO</v>
          </cell>
          <cell r="Q103" t="str">
            <v>GVC1101316W5</v>
          </cell>
          <cell r="V103">
            <v>42674</v>
          </cell>
          <cell r="Y103">
            <v>650250.36</v>
          </cell>
          <cell r="AA103" t="str">
            <v>Construcción de banquetas y guarniciones en la calle La Grana y calle Rastro, en la colonia San Isidro, municipio de Zapopan, Jalisco.</v>
          </cell>
          <cell r="AD103">
            <v>42675</v>
          </cell>
          <cell r="AE103">
            <v>42719</v>
          </cell>
        </row>
        <row r="104">
          <cell r="C104" t="str">
            <v>DOPI-MUN-RM-PROY-AD-227-2016</v>
          </cell>
          <cell r="M104" t="str">
            <v>VICTOR MARTIN</v>
          </cell>
          <cell r="N104" t="str">
            <v>LOPEZ</v>
          </cell>
          <cell r="O104" t="str">
            <v>SANTOS</v>
          </cell>
          <cell r="Q104" t="str">
            <v>CCI020411HS5</v>
          </cell>
          <cell r="V104">
            <v>42706</v>
          </cell>
          <cell r="Y104">
            <v>1199639.3999999999</v>
          </cell>
          <cell r="AA104" t="str">
            <v>Estudios y proyecto ejecutivo para estructuras de regulación hidráulica; Diagnóstico, diseño y proyectos hidráulicos 2016, tercera etapa, de diferentes redes de agua potable y alcantarillado, municipio de Zapopan, Jalisco.</v>
          </cell>
          <cell r="AD104">
            <v>42709</v>
          </cell>
          <cell r="AE104">
            <v>42859</v>
          </cell>
        </row>
        <row r="105">
          <cell r="C105" t="str">
            <v>DOPI-MUN-RM-MOV-AD-234-2016</v>
          </cell>
          <cell r="M105" t="str">
            <v xml:space="preserve">HUGO RAFAEL </v>
          </cell>
          <cell r="N105" t="str">
            <v>CABRERA</v>
          </cell>
          <cell r="O105" t="str">
            <v>ORTINEZ</v>
          </cell>
          <cell r="Q105" t="str">
            <v>CAOH671024T38</v>
          </cell>
          <cell r="V105">
            <v>42674</v>
          </cell>
          <cell r="Y105">
            <v>1342102.7</v>
          </cell>
          <cell r="AA105" t="str">
            <v>Señalización vertical y horizontal en diferentes obras del municipio de Zapopan, Jalisco, frente 2.</v>
          </cell>
          <cell r="AD105">
            <v>42675</v>
          </cell>
          <cell r="AE105">
            <v>42735</v>
          </cell>
        </row>
        <row r="106">
          <cell r="C106" t="str">
            <v>DOPI-MUN-RM-IM-AD-235-2016</v>
          </cell>
          <cell r="M106" t="str">
            <v>HIRAM</v>
          </cell>
          <cell r="N106" t="str">
            <v>SANCHEZ</v>
          </cell>
          <cell r="O106" t="str">
            <v>LUGO</v>
          </cell>
          <cell r="Q106" t="str">
            <v>CUR130430U59</v>
          </cell>
          <cell r="V106">
            <v>42664</v>
          </cell>
          <cell r="Y106">
            <v>915870.14</v>
          </cell>
          <cell r="AA106" t="str">
            <v>Construcción de caseta de vigilancia en el parque Metropolitano, municipio de Zapopan, Jalisco</v>
          </cell>
          <cell r="AD106">
            <v>42667</v>
          </cell>
          <cell r="AE106">
            <v>42704</v>
          </cell>
        </row>
        <row r="107">
          <cell r="C107" t="str">
            <v>DOPI-MUN-RM-PROY-AD-236-2016</v>
          </cell>
          <cell r="M107" t="str">
            <v>JUAN RAMON</v>
          </cell>
          <cell r="N107" t="str">
            <v>RAMIREZ</v>
          </cell>
          <cell r="O107" t="str">
            <v>ALATORRE</v>
          </cell>
          <cell r="Q107" t="str">
            <v>QGE080213988</v>
          </cell>
          <cell r="V107">
            <v>42664</v>
          </cell>
          <cell r="Y107">
            <v>556069.19999999995</v>
          </cell>
          <cell r="AA107" t="str">
            <v>Estudios de impacto ambiental, diagnostico de impacto vial y estudio de impacto urbano, frente 1, municipio de Zapopan, Jalisco</v>
          </cell>
          <cell r="AD107">
            <v>42667</v>
          </cell>
          <cell r="AE107">
            <v>42735</v>
          </cell>
        </row>
        <row r="108">
          <cell r="C108" t="str">
            <v>DOPI-MUN-RM-PAV-AD-237-2016</v>
          </cell>
          <cell r="M108" t="str">
            <v>JOSE SERGIO</v>
          </cell>
          <cell r="N108" t="str">
            <v>CARMONA</v>
          </cell>
          <cell r="O108" t="str">
            <v>RUVALCABA</v>
          </cell>
          <cell r="Q108" t="str">
            <v>QCP1307172S6</v>
          </cell>
          <cell r="V108">
            <v>42664</v>
          </cell>
          <cell r="Y108">
            <v>1480216.87</v>
          </cell>
          <cell r="AA108" t="str">
            <v>Construcción de pavimento de concreto hidráulico, banquetas, adecuaciones de la red sanitaria e hidráulica en la Av. D, colonia El Tigre II, municipio de Zapopan, Jalisco, tramo 1.</v>
          </cell>
          <cell r="AD108">
            <v>42667</v>
          </cell>
          <cell r="AE108">
            <v>42719</v>
          </cell>
        </row>
        <row r="109">
          <cell r="C109" t="str">
            <v>DOPI-MUN-RM-IE-AD-239-2016</v>
          </cell>
          <cell r="G109" t="str">
            <v xml:space="preserve">GUILLERMO ALBERTO </v>
          </cell>
          <cell r="H109" t="str">
            <v>RODRIGUEZ</v>
          </cell>
          <cell r="I109" t="str">
            <v>ALLENDE</v>
          </cell>
          <cell r="K109" t="str">
            <v>GCM121112J86</v>
          </cell>
          <cell r="V109">
            <v>42657</v>
          </cell>
          <cell r="AA109" t="str">
            <v>Suministro y colocación de estructuras de protección de rayos ultravioleta en el Jardín de Niños Maria Trinidad Martínez Yañez, clave CT14DJN1601J, colonia Villas Perisur, municipio de Zapopan, Jalisco</v>
          </cell>
          <cell r="AD109">
            <v>42660</v>
          </cell>
          <cell r="AE109">
            <v>42704</v>
          </cell>
        </row>
        <row r="110">
          <cell r="C110" t="str">
            <v>DOPI-MUN-RM-IU-AD-240-2016</v>
          </cell>
          <cell r="G110" t="str">
            <v xml:space="preserve">ALEJANDRO LUIS </v>
          </cell>
          <cell r="H110" t="str">
            <v xml:space="preserve">VAIDOVITS </v>
          </cell>
          <cell r="I110" t="str">
            <v xml:space="preserve"> SCHNURER</v>
          </cell>
          <cell r="K110" t="str">
            <v>PME930817EV7</v>
          </cell>
          <cell r="V110">
            <v>42692</v>
          </cell>
          <cell r="AA110" t="str">
            <v>Primera etapa de la renovación de imagen urbana en la localidad de Tesistan, municipio de Zapopan, Jalisco</v>
          </cell>
          <cell r="AD110">
            <v>42696</v>
          </cell>
          <cell r="AE110">
            <v>42766</v>
          </cell>
        </row>
        <row r="111">
          <cell r="C111" t="str">
            <v>DOPI-MUN-RM-IM-AD-241-2016</v>
          </cell>
          <cell r="G111" t="str">
            <v>OSCAR LUIS</v>
          </cell>
          <cell r="H111" t="str">
            <v>CHAVEZ</v>
          </cell>
          <cell r="I111" t="str">
            <v>GONZALEZ</v>
          </cell>
          <cell r="K111" t="str">
            <v>ETR070417NS8</v>
          </cell>
          <cell r="V111">
            <v>42671</v>
          </cell>
          <cell r="AA111" t="str">
            <v>Rehabiitación de instalación eléctrica e hidrosanitaria, estructura de protección de rayos ultravioleta y albañilería en el Centro de Desarrollo Infantil del Dif No. 1 Carmen Arce Zuno, ubicado en la colonia Constitución, municipio de Zapopan, Jalisco.</v>
          </cell>
          <cell r="AD111">
            <v>42674</v>
          </cell>
          <cell r="AE111">
            <v>42735</v>
          </cell>
        </row>
        <row r="112">
          <cell r="C112" t="str">
            <v>DOPI-MUN-RM-IM-AD-242-2016</v>
          </cell>
          <cell r="G112" t="str">
            <v>ORLANDO</v>
          </cell>
          <cell r="H112" t="str">
            <v>HIJAR</v>
          </cell>
          <cell r="I112" t="str">
            <v>CASILLAS</v>
          </cell>
          <cell r="K112" t="str">
            <v>CUC121107NV2</v>
          </cell>
          <cell r="V112">
            <v>42671</v>
          </cell>
          <cell r="AA112" t="str">
            <v>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v>
          </cell>
          <cell r="AD112">
            <v>42674</v>
          </cell>
          <cell r="AE112">
            <v>42735</v>
          </cell>
        </row>
        <row r="113">
          <cell r="C113" t="str">
            <v>DOPI-MUN-RM-IM-AD-243-2016</v>
          </cell>
          <cell r="G113" t="str">
            <v xml:space="preserve">EDUARDO </v>
          </cell>
          <cell r="H113" t="str">
            <v>PLASCENCIA</v>
          </cell>
          <cell r="I113" t="str">
            <v>MACIAS</v>
          </cell>
          <cell r="K113" t="str">
            <v>CEP080129EK6</v>
          </cell>
          <cell r="V113">
            <v>42671</v>
          </cell>
          <cell r="AA113" t="str">
            <v>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v>
          </cell>
          <cell r="AD113">
            <v>42674</v>
          </cell>
          <cell r="AE113">
            <v>42735</v>
          </cell>
        </row>
        <row r="114">
          <cell r="C114" t="str">
            <v>DOPI-MUN-RM-IM-AD-244-2016</v>
          </cell>
          <cell r="G114" t="str">
            <v xml:space="preserve">EDUARDO </v>
          </cell>
          <cell r="H114" t="str">
            <v>MORA</v>
          </cell>
          <cell r="I114" t="str">
            <v>BLACKALLER</v>
          </cell>
          <cell r="K114" t="str">
            <v>GCI070523CW4</v>
          </cell>
          <cell r="V114">
            <v>42671</v>
          </cell>
          <cell r="AA114" t="str">
            <v>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v>
          </cell>
          <cell r="AD114">
            <v>42674</v>
          </cell>
          <cell r="AE114">
            <v>42735</v>
          </cell>
        </row>
        <row r="115">
          <cell r="C115" t="str">
            <v>DOPI-MUN-RM-PAV-AD-245-2016</v>
          </cell>
          <cell r="G115" t="str">
            <v>JOEL</v>
          </cell>
          <cell r="H115" t="str">
            <v>ZULOAGA</v>
          </cell>
          <cell r="I115" t="str">
            <v>ACEVES</v>
          </cell>
          <cell r="K115" t="str">
            <v>TSC100210E48</v>
          </cell>
          <cell r="V115">
            <v>42692</v>
          </cell>
          <cell r="AA115" t="str">
            <v>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v>
          </cell>
          <cell r="AD115">
            <v>42695</v>
          </cell>
          <cell r="AE115">
            <v>42729</v>
          </cell>
        </row>
        <row r="116">
          <cell r="C116" t="str">
            <v>DOPI-MUN-RM-EM-AD-246-2016</v>
          </cell>
          <cell r="G116" t="str">
            <v>CLAUDIA PATRICIA</v>
          </cell>
          <cell r="H116" t="str">
            <v xml:space="preserve">SANCHEZ </v>
          </cell>
          <cell r="I116" t="str">
            <v>VALLES</v>
          </cell>
          <cell r="K116" t="str">
            <v>CJM121221Q73</v>
          </cell>
          <cell r="V116">
            <v>42674</v>
          </cell>
          <cell r="AA116" t="str">
            <v>Reconstrucción de habitación, baño y cubierta en vivienda ubicada en la calle López Mateos #61, en la colonia Santa Lucia, municipio de Zapopan, Jalisco</v>
          </cell>
          <cell r="AD116">
            <v>42675</v>
          </cell>
          <cell r="AE116">
            <v>42719</v>
          </cell>
        </row>
        <row r="117">
          <cell r="C117" t="str">
            <v>DOPI-MUN-RM-ELE-AD-248-2016</v>
          </cell>
          <cell r="M117" t="str">
            <v>PIA LORENA</v>
          </cell>
          <cell r="N117" t="str">
            <v>BUENROSTRO</v>
          </cell>
          <cell r="O117" t="str">
            <v>AHUED</v>
          </cell>
          <cell r="Q117" t="str">
            <v>BCO070129512</v>
          </cell>
          <cell r="V117">
            <v>42706</v>
          </cell>
          <cell r="Y117">
            <v>969037.98</v>
          </cell>
          <cell r="AA117" t="str">
            <v>Eléctrificación de pozo en el Ejido Copalita y pozo en la localidad de Cerca Morada, municipio de Zapopan, Jalisco</v>
          </cell>
          <cell r="AD117">
            <v>42709</v>
          </cell>
          <cell r="AE117">
            <v>42799</v>
          </cell>
        </row>
        <row r="118">
          <cell r="C118" t="str">
            <v>DOPI-MUN-R33-IS-AD-249-2016</v>
          </cell>
          <cell r="M118" t="str">
            <v>JOSE DE JESUS</v>
          </cell>
          <cell r="N118" t="str">
            <v>PALAFOX</v>
          </cell>
          <cell r="O118" t="str">
            <v>VILLEGAS</v>
          </cell>
          <cell r="Q118" t="str">
            <v>MCO1510113H8</v>
          </cell>
          <cell r="V118">
            <v>42699</v>
          </cell>
          <cell r="Y118">
            <v>1405850.23</v>
          </cell>
          <cell r="AA118" t="str">
            <v>Construcción de línea de drenaje sanitario de 16" en calle Central, de calle del Bosque al Arroyo, en la colonia el Tizate, en el municipio de Zapopan, Jalisco.</v>
          </cell>
          <cell r="AD118">
            <v>42702</v>
          </cell>
          <cell r="AE118">
            <v>42762</v>
          </cell>
        </row>
        <row r="119">
          <cell r="C119" t="str">
            <v>DOPI-MUN-RM-PROY-AD-250-2016</v>
          </cell>
          <cell r="M119" t="str">
            <v>GABRIEL</v>
          </cell>
          <cell r="N119" t="str">
            <v xml:space="preserve">FRANCO </v>
          </cell>
          <cell r="O119" t="str">
            <v>ALATORRE</v>
          </cell>
          <cell r="Q119" t="str">
            <v>COM141015F48</v>
          </cell>
          <cell r="V119">
            <v>42699</v>
          </cell>
          <cell r="Y119">
            <v>1365001</v>
          </cell>
          <cell r="AA119" t="str">
            <v>Estudios básicos topográficos para diferentes obras 2016, tercera etapa, del municipio de Zapopan, Jalisco.</v>
          </cell>
          <cell r="AD119">
            <v>42702</v>
          </cell>
          <cell r="AE119">
            <v>42855</v>
          </cell>
        </row>
        <row r="120">
          <cell r="C120" t="str">
            <v>DOPI-MUN-R33-IH-AD-251-2016</v>
          </cell>
          <cell r="M120" t="str">
            <v>JOSE SERGIO</v>
          </cell>
          <cell r="N120" t="str">
            <v>CARMONA</v>
          </cell>
          <cell r="O120" t="str">
            <v>RUVALCABA</v>
          </cell>
          <cell r="Q120" t="str">
            <v>QCP1307172S6</v>
          </cell>
          <cell r="V120">
            <v>42699</v>
          </cell>
          <cell r="Y120">
            <v>1475636.47</v>
          </cell>
          <cell r="AA120" t="str">
            <v>Construcción de línea de conducción de agua potable, en la localidad Los Patios, de pozo Los Patios A Conexión Existente, en el municipio de Zapopan, Jalisco.</v>
          </cell>
          <cell r="AD120">
            <v>42702</v>
          </cell>
          <cell r="AE120">
            <v>42852</v>
          </cell>
        </row>
        <row r="121">
          <cell r="C121" t="str">
            <v>DOPI-MUN-R33-IH-AD-252-2016</v>
          </cell>
          <cell r="M121" t="str">
            <v>JUAN PABLO</v>
          </cell>
          <cell r="N121" t="str">
            <v>VERA</v>
          </cell>
          <cell r="O121" t="str">
            <v>TAVARES</v>
          </cell>
          <cell r="Q121" t="str">
            <v>LCO080228DN2</v>
          </cell>
          <cell r="V121">
            <v>42699</v>
          </cell>
          <cell r="Y121">
            <v>1298415.18</v>
          </cell>
          <cell r="AA121" t="str">
            <v>Construcción de línea de agua potable y drenaje sanitario en la calle Panorama, tramo 1, municipio de Zapopan, Jalisco.</v>
          </cell>
          <cell r="AD121">
            <v>42702</v>
          </cell>
          <cell r="AE121">
            <v>42792</v>
          </cell>
        </row>
        <row r="122">
          <cell r="C122" t="str">
            <v>DOPI-MUN-R33-IH-AD-253-2016</v>
          </cell>
          <cell r="M122" t="str">
            <v xml:space="preserve">RICARDO </v>
          </cell>
          <cell r="N122" t="str">
            <v>RIZO</v>
          </cell>
          <cell r="O122" t="str">
            <v>SOSA</v>
          </cell>
          <cell r="Q122" t="str">
            <v>NEO080722M53</v>
          </cell>
          <cell r="V122">
            <v>42699</v>
          </cell>
          <cell r="Y122">
            <v>1140318.97</v>
          </cell>
          <cell r="AA122" t="str">
            <v>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v>
          </cell>
          <cell r="AD122">
            <v>42702</v>
          </cell>
          <cell r="AE122">
            <v>42822</v>
          </cell>
        </row>
        <row r="123">
          <cell r="C123" t="str">
            <v>DOPI-MUN-R33-IH-AD-254-2016</v>
          </cell>
          <cell r="M123" t="str">
            <v>GABINO</v>
          </cell>
          <cell r="N123" t="str">
            <v>MONTUFAR</v>
          </cell>
          <cell r="O123" t="str">
            <v>NUÑEZ</v>
          </cell>
          <cell r="Q123" t="str">
            <v>DCO021029737</v>
          </cell>
          <cell r="V123">
            <v>42699</v>
          </cell>
          <cell r="Y123">
            <v>1010226.87</v>
          </cell>
          <cell r="AA123" t="str">
            <v>Construcción de línea agua potable en la calle Miguel Hidalgo, de calle Josefa Ortíz De Domínguez a Cerrada, en la colonia Indígena De Mezquitan I Sección, en el municipio de Zapopan, Jalisco.</v>
          </cell>
          <cell r="AD123">
            <v>42702</v>
          </cell>
          <cell r="AE123">
            <v>42822</v>
          </cell>
        </row>
        <row r="124">
          <cell r="C124" t="str">
            <v>DOPI-MUN-R33-PAV-AD-255-2016</v>
          </cell>
          <cell r="M124" t="str">
            <v>JOSE GILBERTO</v>
          </cell>
          <cell r="N124" t="str">
            <v>LUJAN</v>
          </cell>
          <cell r="O124" t="str">
            <v>BARAJAS</v>
          </cell>
          <cell r="Q124" t="str">
            <v>GIN1202272F9</v>
          </cell>
          <cell r="V124">
            <v>42699</v>
          </cell>
          <cell r="Y124">
            <v>1494784.36</v>
          </cell>
          <cell r="AA124" t="str">
            <v>Construcción de pavimento zamepado en la calle Laureles, de calle Paseo de los Manzanos a calle Palmeras, en la colonia Lomas de Tabachines  I sección, en el municipio de Zapopan, Jalisco. Frente 1</v>
          </cell>
          <cell r="AD124">
            <v>42702</v>
          </cell>
          <cell r="AE124">
            <v>42822</v>
          </cell>
        </row>
        <row r="125">
          <cell r="C125" t="str">
            <v>DOPI-MUN-R33-PAV-AD-256-2016</v>
          </cell>
          <cell r="M125" t="str">
            <v>AMALIA</v>
          </cell>
          <cell r="N125" t="str">
            <v>MORENO</v>
          </cell>
          <cell r="O125" t="str">
            <v>MALDONADO</v>
          </cell>
          <cell r="Q125" t="str">
            <v>GCM020226F28</v>
          </cell>
          <cell r="V125">
            <v>42699</v>
          </cell>
          <cell r="Y125">
            <v>1208435.74</v>
          </cell>
          <cell r="AA125" t="str">
            <v>Pavimentación empedrado zampeado, línea de agua potable y drenaje sanitario,  en la calle Laurel, de calle Abelardo Rodríguez a calle Palmeras y calle Palmeras, de calle Laurel a Cerrada, en la colonia Emiliano Zapata, municipio de Zapopan Jalisco.</v>
          </cell>
          <cell r="AD125">
            <v>42702</v>
          </cell>
          <cell r="AE125">
            <v>42822</v>
          </cell>
        </row>
        <row r="126">
          <cell r="C126" t="str">
            <v>DOPI-MUN-R33-PAV-AD-257-2016</v>
          </cell>
          <cell r="M126" t="str">
            <v>JOAQUIN</v>
          </cell>
          <cell r="N126" t="str">
            <v>RAMIREZ</v>
          </cell>
          <cell r="O126" t="str">
            <v>GALLARDO</v>
          </cell>
          <cell r="Q126" t="str">
            <v>AUR100826KX0</v>
          </cell>
          <cell r="V126">
            <v>42699</v>
          </cell>
          <cell r="Y126">
            <v>1524750.48</v>
          </cell>
          <cell r="AA126" t="str">
            <v>Construcción de pavimento zamepado en la calle Laureles, de calle Paseo de los Manzanos a calle Palmeras, en la colonia Lomas de Tabachines  I sección, en el municipio de Zapopan, Jalisco. Frente 2</v>
          </cell>
          <cell r="AD126">
            <v>42702</v>
          </cell>
          <cell r="AE126">
            <v>42822</v>
          </cell>
        </row>
        <row r="127">
          <cell r="C127" t="str">
            <v>DOPI-MUN-R33-ELE-AD-258-2016</v>
          </cell>
          <cell r="M127" t="str">
            <v>JOSE DE JESUS</v>
          </cell>
          <cell r="N127" t="str">
            <v>MARQUEZ</v>
          </cell>
          <cell r="O127" t="str">
            <v>AVILA</v>
          </cell>
          <cell r="Q127" t="str">
            <v>FUT1110275V9</v>
          </cell>
          <cell r="V127">
            <v>42699</v>
          </cell>
          <cell r="Y127">
            <v>1393254.78</v>
          </cell>
          <cell r="AA127" t="str">
            <v>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v>
          </cell>
          <cell r="AD127">
            <v>42702</v>
          </cell>
          <cell r="AE127">
            <v>42852</v>
          </cell>
        </row>
        <row r="128">
          <cell r="C128" t="str">
            <v>DOPI-MUN-R33-ELE-AD-259-2016</v>
          </cell>
          <cell r="M128" t="str">
            <v>RODRIGO</v>
          </cell>
          <cell r="N128" t="str">
            <v>SOLIS</v>
          </cell>
          <cell r="O128" t="str">
            <v>RUIZ</v>
          </cell>
          <cell r="Q128" t="str">
            <v>EMP080630FL0</v>
          </cell>
          <cell r="V128">
            <v>42710</v>
          </cell>
          <cell r="Y128">
            <v>992115.87</v>
          </cell>
          <cell r="AA128" t="str">
            <v>Electrificación y alumbrado público en calle Latón, de calle Platino a calle Centenario, calle Limonita, de calle Níquel al Arroyo y calle Uranio, de calle Río Bajo al arroyo, en la colonia Arenales Tapatíos II, en el municipio de Zapopan, Jalisco.</v>
          </cell>
          <cell r="AD128">
            <v>42711</v>
          </cell>
          <cell r="AE128">
            <v>42794</v>
          </cell>
        </row>
        <row r="129">
          <cell r="C129" t="str">
            <v>DOPI-MUN-R33-ELE-AD-260-2016</v>
          </cell>
          <cell r="M129" t="str">
            <v>FAUSTO</v>
          </cell>
          <cell r="N129" t="str">
            <v>GARNICA</v>
          </cell>
          <cell r="O129" t="str">
            <v>PADILLA</v>
          </cell>
          <cell r="Q129" t="str">
            <v>GAPF5912193V9</v>
          </cell>
          <cell r="V129">
            <v>42710</v>
          </cell>
          <cell r="Y129">
            <v>1502368.1</v>
          </cell>
          <cell r="AA129" t="str">
            <v xml:space="preserve">Electrificación de pozo, en la localidad Los Patios, en el municipio de Zapopan, Jalisco. </v>
          </cell>
          <cell r="AD129">
            <v>42711</v>
          </cell>
          <cell r="AE129">
            <v>42861</v>
          </cell>
        </row>
        <row r="130">
          <cell r="C130" t="str">
            <v>DOPI-MUN-R33-IH-AD-261-2016</v>
          </cell>
          <cell r="M130" t="str">
            <v>MADELEINE</v>
          </cell>
          <cell r="N130" t="str">
            <v xml:space="preserve">GARZA </v>
          </cell>
          <cell r="O130" t="str">
            <v>ESTRADA</v>
          </cell>
          <cell r="Q130" t="str">
            <v>SUR091203ERA</v>
          </cell>
          <cell r="V130">
            <v>42710</v>
          </cell>
          <cell r="Y130">
            <v>560225.48</v>
          </cell>
          <cell r="AA130" t="str">
            <v>Construcción de línea de drenaje sanitario en la calle Rosal, de calle Colorines a calle Jazmín, en la colonia Floresta Del Collí; Obra complementaria de la línea de agua potable, en la colonia Misión San Genaro (Nuevo México), en el municipio de Zapopan Jalisco.</v>
          </cell>
          <cell r="AD130">
            <v>42711</v>
          </cell>
          <cell r="AE130">
            <v>42771</v>
          </cell>
        </row>
        <row r="131">
          <cell r="C131" t="str">
            <v>DOPI-MUN-R33-IH-AD-262-2016</v>
          </cell>
          <cell r="M131" t="str">
            <v>JUAN</v>
          </cell>
          <cell r="N131" t="str">
            <v>PADILLA</v>
          </cell>
          <cell r="O131" t="str">
            <v>AILHAUD</v>
          </cell>
          <cell r="Q131" t="str">
            <v>TCM0111148H5</v>
          </cell>
          <cell r="V131">
            <v>42713</v>
          </cell>
          <cell r="Y131">
            <v>1337560.18</v>
          </cell>
          <cell r="AA131" t="str">
            <v>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v>
          </cell>
          <cell r="AD131">
            <v>42716</v>
          </cell>
          <cell r="AE131">
            <v>42806</v>
          </cell>
        </row>
        <row r="132">
          <cell r="C132" t="str">
            <v>DOPI-MUN-R33-PAV-AD-263-2016</v>
          </cell>
          <cell r="M132" t="str">
            <v>ROBERTO</v>
          </cell>
          <cell r="N132" t="str">
            <v>FLORES</v>
          </cell>
          <cell r="O132" t="str">
            <v>ARREOLA</v>
          </cell>
          <cell r="Q132" t="str">
            <v>ESC930617KW9</v>
          </cell>
          <cell r="V132">
            <v>42713</v>
          </cell>
          <cell r="Y132">
            <v>1510487.16</v>
          </cell>
          <cell r="AA132" t="str">
            <v>Pavimentación con empedrado zampeado de la calle El Salto, de calle Fernando Montes De Oca a calle Valentín Gómez Farías; Construcción de Andador en la calle El Salto de la calle Valentín Gómez Farías al Arroyo, municipio de Zapopan, Jalisco</v>
          </cell>
          <cell r="AD132">
            <v>42716</v>
          </cell>
          <cell r="AE132">
            <v>42836</v>
          </cell>
        </row>
        <row r="133">
          <cell r="C133" t="str">
            <v>DOPI-MUN-R33 BAN-AD-264-2016</v>
          </cell>
          <cell r="M133" t="str">
            <v>BRUNO</v>
          </cell>
          <cell r="N133" t="str">
            <v>RUIZ</v>
          </cell>
          <cell r="O133" t="str">
            <v>CASTAÑEDA</v>
          </cell>
          <cell r="Q133" t="str">
            <v>SIA011224UN1</v>
          </cell>
          <cell r="V133">
            <v>42713</v>
          </cell>
          <cell r="Y133">
            <v>1495874.33</v>
          </cell>
          <cell r="AA133" t="str">
            <v>Construcción de puente peatonal en el cruce de la calle Albañiles y calle Mirador, en la colonia Cabañitas, municipio de Zapopan, Jalisco.</v>
          </cell>
          <cell r="AD133">
            <v>42716</v>
          </cell>
          <cell r="AE133">
            <v>42836</v>
          </cell>
        </row>
        <row r="134">
          <cell r="C134" t="str">
            <v>DOPI-MUN-R33-ELE-AD-265-2016</v>
          </cell>
          <cell r="M134" t="str">
            <v xml:space="preserve">HÉCTOR ALEJANDRO </v>
          </cell>
          <cell r="N134" t="str">
            <v xml:space="preserve">ORTEGA </v>
          </cell>
          <cell r="O134" t="str">
            <v>ROSALES</v>
          </cell>
          <cell r="Q134" t="str">
            <v>ISS920330811</v>
          </cell>
          <cell r="V134">
            <v>42713</v>
          </cell>
          <cell r="Y134">
            <v>1475654.13</v>
          </cell>
          <cell r="AA134" t="str">
            <v>Electrificación en la calle La Sidra, de calle Naranjo a 700 m,  en la localidad San Esteban,  en el municipio de Zapopan, Jalisco.</v>
          </cell>
          <cell r="AD134">
            <v>42716</v>
          </cell>
          <cell r="AE134">
            <v>42866</v>
          </cell>
        </row>
        <row r="135">
          <cell r="C135" t="str">
            <v>DOPI-MUN-R33-ELE-AD-266-2016</v>
          </cell>
          <cell r="M135" t="str">
            <v>JOSUE FERNANDO RAFAEL</v>
          </cell>
          <cell r="N135" t="str">
            <v>ESCANES</v>
          </cell>
          <cell r="O135" t="str">
            <v>TAMES</v>
          </cell>
          <cell r="Q135" t="str">
            <v>JIL9410139F9</v>
          </cell>
          <cell r="V135">
            <v>42713</v>
          </cell>
          <cell r="Y135">
            <v>1497365.47</v>
          </cell>
          <cell r="AA135" t="str">
            <v xml:space="preserve">Línea de electrificación de pozo, en la localidad Milpillas Mesa De San Juan, en el municipio de Zapopan, Jalisco. </v>
          </cell>
          <cell r="AD135">
            <v>42716</v>
          </cell>
          <cell r="AE135">
            <v>42866</v>
          </cell>
        </row>
        <row r="136">
          <cell r="C136" t="str">
            <v>DOPI-MUN-RM-IM-AD-267-2016</v>
          </cell>
          <cell r="M136" t="str">
            <v xml:space="preserve">RAFAEL </v>
          </cell>
          <cell r="N136" t="str">
            <v>ARREGUIN</v>
          </cell>
          <cell r="O136" t="str">
            <v>RENTERIA</v>
          </cell>
          <cell r="Q136" t="str">
            <v>ADI130522MB7</v>
          </cell>
          <cell r="V136">
            <v>42713</v>
          </cell>
          <cell r="Y136">
            <v>1390897.36</v>
          </cell>
          <cell r="AA136" t="str">
            <v>Rehabilitación de carpintería, instalación eléctrica, hidráulica, sanitaria, estructuras de protección de rayos ultravioleta, pisos, y albañilería en el Centro de Desarrollo Infantil del DIF No. 3 Irene Robledo García, ubicado en la colonia Fovissste, municipio de Zapopa</v>
          </cell>
          <cell r="AD136">
            <v>42716</v>
          </cell>
          <cell r="AE136">
            <v>42746</v>
          </cell>
        </row>
        <row r="137">
          <cell r="C137" t="str">
            <v>DOPI-MUN-RM-IM-AD-268-2016</v>
          </cell>
          <cell r="M137" t="str">
            <v xml:space="preserve">GUILLERMO </v>
          </cell>
          <cell r="N137" t="str">
            <v>RODRIGUEZ</v>
          </cell>
          <cell r="O137" t="str">
            <v>MEZA</v>
          </cell>
          <cell r="Q137" t="str">
            <v>CAJ1208151M8</v>
          </cell>
          <cell r="V137">
            <v>42713</v>
          </cell>
          <cell r="Y137">
            <v>1472678.88</v>
          </cell>
          <cell r="AA137" t="str">
            <v>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v>
          </cell>
          <cell r="AD137">
            <v>42716</v>
          </cell>
          <cell r="AE137">
            <v>42776</v>
          </cell>
        </row>
        <row r="138">
          <cell r="C138" t="str">
            <v>DOPI-MUN-RM-PROY-AD-269-2016</v>
          </cell>
          <cell r="M138" t="str">
            <v xml:space="preserve">RODOLFO </v>
          </cell>
          <cell r="N138" t="str">
            <v xml:space="preserve">VELAZQUEZ </v>
          </cell>
          <cell r="O138" t="str">
            <v>ORDOÑEZ</v>
          </cell>
          <cell r="Q138" t="str">
            <v>VIE110125RL4</v>
          </cell>
          <cell r="V138">
            <v>42713</v>
          </cell>
          <cell r="Y138">
            <v>1095388.1499999999</v>
          </cell>
          <cell r="AA138" t="str">
            <v>Diagnóstico, diseño y proyectos hidráulicos 2016, segunda etapa, de diferentes redes de agua potable y alcantarillado, municipio de Zapopan Jalisco.</v>
          </cell>
          <cell r="AD138">
            <v>42716</v>
          </cell>
          <cell r="AE138">
            <v>42866</v>
          </cell>
        </row>
        <row r="140">
          <cell r="C140" t="str">
            <v>DOPI-MUN-RM-IM-AD-272-2016</v>
          </cell>
          <cell r="M140" t="str">
            <v xml:space="preserve">ARTURO </v>
          </cell>
          <cell r="N140" t="str">
            <v>DISTANCIA</v>
          </cell>
          <cell r="O140" t="str">
            <v>SANCHEZ</v>
          </cell>
          <cell r="Q140" t="str">
            <v>JCO160413SK4</v>
          </cell>
          <cell r="V140">
            <v>42713</v>
          </cell>
          <cell r="Y140">
            <v>1450236.87</v>
          </cell>
          <cell r="AA140" t="str">
            <v>Rehabilitación de baños públicos en la Unidad Deportiva El Vergel, Unidad Deportiva Santa Margarita "Las Margaritas" y en la Unidad Deportiva Santa Ana Tepetitlán, municipio de Zapopan, Jalisco</v>
          </cell>
          <cell r="AD140">
            <v>42716</v>
          </cell>
          <cell r="AE140">
            <v>42806</v>
          </cell>
        </row>
        <row r="141">
          <cell r="C141" t="str">
            <v>DOPI-MUN-RM-ELE-AD-274-2016</v>
          </cell>
          <cell r="M141" t="str">
            <v>PIA LORENA</v>
          </cell>
          <cell r="N141" t="str">
            <v>BUENROSTRO</v>
          </cell>
          <cell r="O141" t="str">
            <v>AHUED</v>
          </cell>
          <cell r="Q141" t="str">
            <v>BCO070129512</v>
          </cell>
          <cell r="V141">
            <v>42713</v>
          </cell>
          <cell r="Y141">
            <v>569255.19400000002</v>
          </cell>
          <cell r="AA141" t="str">
            <v>Suministro e instalación de sistema de pararrayos en el Centro Cultural Constitución, municipio de Zapopan, Jalisco</v>
          </cell>
          <cell r="AD141">
            <v>42716</v>
          </cell>
          <cell r="AE141">
            <v>42766</v>
          </cell>
        </row>
        <row r="142">
          <cell r="C142" t="str">
            <v>DOPI-MUN-RM-PAV-AD-275-2016</v>
          </cell>
          <cell r="M142" t="str">
            <v>JESUS DAVID</v>
          </cell>
          <cell r="N142" t="str">
            <v xml:space="preserve">GARZA </v>
          </cell>
          <cell r="O142" t="str">
            <v>GARCIA</v>
          </cell>
          <cell r="Q142" t="str">
            <v>CGG040518F81</v>
          </cell>
          <cell r="V142">
            <v>42713</v>
          </cell>
          <cell r="Y142">
            <v>876527.94</v>
          </cell>
          <cell r="AA142" t="str">
            <v>Pavimentación con concreto asfáltico en el retorno Periférico Sur hacía Av, Santa Esther y en el retorno Periférico Norte hacía Av. Juan Pablo II, municipio de Zapopan, Jalisco</v>
          </cell>
          <cell r="AD142">
            <v>42716</v>
          </cell>
          <cell r="AE142">
            <v>42766</v>
          </cell>
        </row>
        <row r="143">
          <cell r="C143" t="str">
            <v>DOPI-MUN-RM-IH-AD-277-2016</v>
          </cell>
          <cell r="M143" t="str">
            <v>JOSE ANTONIO</v>
          </cell>
          <cell r="N143" t="str">
            <v>ALVAREZ</v>
          </cell>
          <cell r="O143" t="str">
            <v>ZULOAGA</v>
          </cell>
          <cell r="Q143" t="str">
            <v>GDA150928286</v>
          </cell>
          <cell r="V143">
            <v>42699</v>
          </cell>
          <cell r="Y143">
            <v>924106.84</v>
          </cell>
          <cell r="AA143" t="str">
            <v xml:space="preserve">Construcción de red de drenaje sanitario en la calle Malinalli, de la calle Cholollan a la calle Delli, colonia Mesa Colorada, municipio de Zapopan, Jalisco </v>
          </cell>
          <cell r="AD143">
            <v>42702</v>
          </cell>
          <cell r="AE143">
            <v>42750</v>
          </cell>
        </row>
        <row r="144">
          <cell r="C144" t="str">
            <v>DOPI-MUN-RM-IH-AD-278-2016</v>
          </cell>
          <cell r="M144" t="str">
            <v>JAVIER</v>
          </cell>
          <cell r="N144" t="str">
            <v xml:space="preserve">ÁVILA </v>
          </cell>
          <cell r="O144" t="str">
            <v>FLORES</v>
          </cell>
          <cell r="Q144" t="str">
            <v>SCC060622HZ3</v>
          </cell>
          <cell r="V144">
            <v>42706</v>
          </cell>
          <cell r="Y144">
            <v>626297.09</v>
          </cell>
          <cell r="AA144" t="str">
            <v>Instalación de tomas domiciliarias en la colonia Marcelino García Barragán, municipio de Zapopan, Jalisco</v>
          </cell>
          <cell r="AD144">
            <v>42709</v>
          </cell>
          <cell r="AE144">
            <v>42754</v>
          </cell>
        </row>
        <row r="145">
          <cell r="C145" t="str">
            <v>DOPI-MUN-RM-SERV-AD-279-2016</v>
          </cell>
          <cell r="M145" t="str">
            <v>DANIEL</v>
          </cell>
          <cell r="N145" t="str">
            <v>SEGURA</v>
          </cell>
          <cell r="O145" t="str">
            <v>URBANO</v>
          </cell>
          <cell r="Q145" t="str">
            <v>SEUD690208177</v>
          </cell>
          <cell r="V145">
            <v>42720</v>
          </cell>
          <cell r="Y145">
            <v>1214979.8</v>
          </cell>
          <cell r="AA145" t="str">
            <v>Servicios de consultoría para la elaboración de bases, coordinación técnica del proceso de licitación, contratación y supervisión técnica de la ejecución del complejo C4 Zapopan, municipio de Zapopan, Jalisco</v>
          </cell>
          <cell r="AD145">
            <v>42723</v>
          </cell>
          <cell r="AE145">
            <v>42886</v>
          </cell>
        </row>
        <row r="146">
          <cell r="C146" t="str">
            <v>DOPI-MUN-R33-IH-AD-280-2016</v>
          </cell>
          <cell r="M146" t="str">
            <v xml:space="preserve">RODOLFO </v>
          </cell>
          <cell r="N146" t="str">
            <v xml:space="preserve">VELAZQUEZ </v>
          </cell>
          <cell r="O146" t="str">
            <v>ORDOÑEZ</v>
          </cell>
          <cell r="Q146" t="str">
            <v>VIE110125RL4</v>
          </cell>
          <cell r="V146">
            <v>42720</v>
          </cell>
          <cell r="Y146">
            <v>825634.87</v>
          </cell>
          <cell r="AA146" t="str">
            <v>Construcción de línea de agua potable en la colonia Prados de Santa Lucía, primera etapa, municipio de Zapopan, Jalisco.</v>
          </cell>
          <cell r="AD146">
            <v>42723</v>
          </cell>
          <cell r="AE146">
            <v>42873</v>
          </cell>
        </row>
        <row r="147">
          <cell r="C147" t="str">
            <v>DOPI-MUN-R33-PAV-AD-281-2016</v>
          </cell>
          <cell r="M147" t="str">
            <v>RAUL</v>
          </cell>
          <cell r="N147" t="str">
            <v xml:space="preserve">ORTEGA </v>
          </cell>
          <cell r="O147" t="str">
            <v>JARA</v>
          </cell>
          <cell r="Q147" t="str">
            <v>CAN030528ME0</v>
          </cell>
          <cell r="V147">
            <v>42720</v>
          </cell>
          <cell r="Y147">
            <v>1502354.73</v>
          </cell>
          <cell r="AA147" t="str">
            <v>Pavimentación con concreto hidráulico en la calle Manzanos, colonia Agua Fría, incluye: agua potable, drenaje sanitario, guarniciones, banquetas, accesibilidad y servicios complementarios, en el municipio de Zapopan, Jalisco, frente 1.</v>
          </cell>
          <cell r="AD147">
            <v>42723</v>
          </cell>
          <cell r="AE147">
            <v>42873</v>
          </cell>
        </row>
        <row r="148">
          <cell r="C148" t="str">
            <v>DOPI-MUN-R33-PAV-AD-282-2016</v>
          </cell>
          <cell r="M148" t="str">
            <v>CARLOS</v>
          </cell>
          <cell r="N148" t="str">
            <v>PEREZ</v>
          </cell>
          <cell r="O148" t="str">
            <v>CRUZ</v>
          </cell>
          <cell r="Q148" t="str">
            <v>CPE070123PD4</v>
          </cell>
          <cell r="V148">
            <v>42720</v>
          </cell>
          <cell r="Y148">
            <v>1495225.08</v>
          </cell>
          <cell r="AA148" t="str">
            <v>Pavimentación con concreto hidráulico en la calle Manzanos, colonia Agua Fría, incluye: agua potable, drenaje sanitario, guarniciones, banquetas, accesibilidad y servicios complementarios, en el municipio de Zapopan, Jalisco, frente 2.</v>
          </cell>
          <cell r="AD148">
            <v>42723</v>
          </cell>
          <cell r="AE148">
            <v>42873</v>
          </cell>
        </row>
        <row r="149">
          <cell r="C149" t="str">
            <v>DOPI-MUN-R33-IH-AD-283-2016</v>
          </cell>
          <cell r="M149" t="str">
            <v>ABIMAEL</v>
          </cell>
          <cell r="N149" t="str">
            <v>MONTUFAR</v>
          </cell>
          <cell r="O149" t="str">
            <v>LOPEZ</v>
          </cell>
          <cell r="Q149" t="str">
            <v>CAC1308225S7</v>
          </cell>
          <cell r="V149">
            <v>42720</v>
          </cell>
          <cell r="Y149">
            <v>702114.36</v>
          </cell>
          <cell r="AA149" t="str">
            <v>Construcción de línea drenaje sanitario en la calle Miguel Hidalgo, de calle Josefa Ortíz de Domínguez a Cerrada, en la colonia Indígena de Mezquitan Sección I, en el municipio de Zapopan, Jalisco.</v>
          </cell>
          <cell r="AD149">
            <v>42723</v>
          </cell>
          <cell r="AE149">
            <v>42873</v>
          </cell>
        </row>
        <row r="150">
          <cell r="C150" t="str">
            <v>DOPI-MUN-FORTA-PROY-AD-005-2017</v>
          </cell>
          <cell r="M150" t="str">
            <v>Juan Francisco</v>
          </cell>
          <cell r="N150" t="str">
            <v>Toscano</v>
          </cell>
          <cell r="O150" t="str">
            <v>Lases</v>
          </cell>
          <cell r="Q150" t="str">
            <v>IDO100427QG2</v>
          </cell>
          <cell r="V150">
            <v>42793</v>
          </cell>
          <cell r="AA150" t="str">
            <v>Elaboración de proyectos arquitectónicos en diferentes obras del programa 2017, municipio de Zapopan, Jalisco.</v>
          </cell>
          <cell r="AD150">
            <v>42795</v>
          </cell>
          <cell r="AE150">
            <v>42947</v>
          </cell>
        </row>
        <row r="151">
          <cell r="C151" t="str">
            <v>DOPI-MUN-RM-IH-AD-008-2017</v>
          </cell>
          <cell r="M151" t="str">
            <v>Edwin</v>
          </cell>
          <cell r="N151" t="str">
            <v>Aguiar</v>
          </cell>
          <cell r="O151" t="str">
            <v>Escatel</v>
          </cell>
          <cell r="Q151" t="str">
            <v>MUR090325P33</v>
          </cell>
          <cell r="AA151" t="str">
            <v>Rehabilitación de líneas de agua potable y alcantarillado sanitario, en la Av. Ángel Leaño, tramo zona del Nixticuil, municipio de Zapopan, Jalisco.</v>
          </cell>
          <cell r="AD151">
            <v>42793</v>
          </cell>
          <cell r="AE151">
            <v>42858</v>
          </cell>
        </row>
        <row r="152">
          <cell r="C152" t="str">
            <v>DOPI-MUN-FORTA-SER-AD-009-2017</v>
          </cell>
          <cell r="M152" t="str">
            <v>Héctor Manuel</v>
          </cell>
          <cell r="N152" t="str">
            <v>Zepeda</v>
          </cell>
          <cell r="O152" t="str">
            <v>Angulo</v>
          </cell>
          <cell r="Q152" t="str">
            <v>CIC680115AK4</v>
          </cell>
          <cell r="AA152" t="str">
            <v>Elaboración de peritajes estructurales en infraestructura urbana, municipio de Zapopan, Jalisco.</v>
          </cell>
          <cell r="AD152">
            <v>42814</v>
          </cell>
          <cell r="AE152">
            <v>42977</v>
          </cell>
        </row>
        <row r="153">
          <cell r="C153" t="str">
            <v>DOPI-MUN-FORTA-PROY-AD-010-2017</v>
          </cell>
          <cell r="M153" t="str">
            <v>Pia Lorena</v>
          </cell>
          <cell r="N153" t="str">
            <v>Buenrostro</v>
          </cell>
          <cell r="O153" t="str">
            <v>Ahued</v>
          </cell>
          <cell r="Q153" t="str">
            <v>BCO070129512</v>
          </cell>
          <cell r="AA153" t="str">
            <v>Diagnóstico, diseño y proyectos de infraestructura eléctrica 2017, primera etapa, municipio de Zapopan, Jalisco.</v>
          </cell>
          <cell r="AD153">
            <v>42814</v>
          </cell>
          <cell r="AE153">
            <v>42977</v>
          </cell>
        </row>
        <row r="154">
          <cell r="C154" t="str">
            <v>DOPI-MUN-FORTA-PROY-AD-011-2017</v>
          </cell>
          <cell r="M154" t="str">
            <v xml:space="preserve">Rene </v>
          </cell>
          <cell r="N154" t="str">
            <v>Caro</v>
          </cell>
          <cell r="O154" t="str">
            <v>Gómez</v>
          </cell>
          <cell r="Q154" t="str">
            <v>CAGR720818NC1</v>
          </cell>
          <cell r="V154">
            <v>42793</v>
          </cell>
          <cell r="AA154" t="str">
            <v>Proyecto ejecutivo para la construcción de ciclovia y rehabilitación de banquetas en la Glorieta Chapalita y la Av. Guadalupe de la Glorieta Chapalita a la Av. Niño Obrero, municipio de Zapopan, Jalisco.</v>
          </cell>
          <cell r="AD154">
            <v>42795</v>
          </cell>
          <cell r="AE154">
            <v>42886</v>
          </cell>
        </row>
        <row r="155">
          <cell r="C155" t="str">
            <v>DOPI-MUN-FORTA-ID-AD-012-2017</v>
          </cell>
          <cell r="M155" t="str">
            <v>DAVID</v>
          </cell>
          <cell r="N155" t="str">
            <v>LEDESMA</v>
          </cell>
          <cell r="O155" t="str">
            <v>MARTIN DEL CAMPO</v>
          </cell>
          <cell r="Q155" t="str">
            <v>LEMD880217U53</v>
          </cell>
          <cell r="V155">
            <v>42811</v>
          </cell>
          <cell r="AA155" t="str">
            <v>Construcción de Skatepark en la Unidad Deportiva Santa Margarita, municipio de Zapopan, Jalisco.</v>
          </cell>
          <cell r="AD155">
            <v>42814</v>
          </cell>
          <cell r="AE155">
            <v>42886</v>
          </cell>
        </row>
        <row r="156">
          <cell r="C156" t="str">
            <v>DOPI-MUN-FORTA-ELE-AD-013-2017</v>
          </cell>
          <cell r="M156" t="str">
            <v>FAUSTO</v>
          </cell>
          <cell r="N156" t="str">
            <v>GARNICA</v>
          </cell>
          <cell r="O156" t="str">
            <v>PADILLA</v>
          </cell>
          <cell r="Q156" t="str">
            <v>GAPF5912193V9</v>
          </cell>
          <cell r="V156">
            <v>42797</v>
          </cell>
          <cell r="AA156" t="str">
            <v>Instalación de la media tensión, equipos de medición y alimentación a tableros en la Unidad Deportiva El Polvorín, municipio de Zapopan, Jalisco.</v>
          </cell>
          <cell r="AD156">
            <v>42800</v>
          </cell>
          <cell r="AE156">
            <v>42886</v>
          </cell>
        </row>
        <row r="157">
          <cell r="C157" t="str">
            <v>DOPI-MUN-FORTA-ELE-AD-014-2017</v>
          </cell>
          <cell r="M157" t="str">
            <v>HECTOR MANUEL</v>
          </cell>
          <cell r="N157" t="str">
            <v>ALVAREZ</v>
          </cell>
          <cell r="O157" t="str">
            <v>ORGANISTA</v>
          </cell>
          <cell r="Q157" t="str">
            <v>ACC0202071Z6</v>
          </cell>
          <cell r="V157">
            <v>42811</v>
          </cell>
          <cell r="AA157" t="str">
            <v>Alumbrado en andadores, canchas y áreas comunes en la Unidad Deportiva El Polvorín, municipio de Zapopan, Jalisco.</v>
          </cell>
          <cell r="AD157">
            <v>42814</v>
          </cell>
          <cell r="AE157">
            <v>42886</v>
          </cell>
        </row>
        <row r="158">
          <cell r="C158" t="str">
            <v>DOPI-MUN-FORTA-ID-AD-015-2017</v>
          </cell>
          <cell r="M158" t="str">
            <v>MARIA EUGENIA</v>
          </cell>
          <cell r="N158" t="str">
            <v xml:space="preserve">CORTES </v>
          </cell>
          <cell r="O158" t="str">
            <v>GONZALEZ</v>
          </cell>
          <cell r="Q158" t="str">
            <v>ASP100215RH9</v>
          </cell>
          <cell r="V158">
            <v>42811</v>
          </cell>
          <cell r="AA158" t="str">
            <v>Construcción cancha de voleibol de playa, rehabilitación de andador, instalaciones para la operación, mobiliario urbano y obra  complementaria en la Unidad Deportiva El Polvorín, municipio de Zapopan, Jalisco.</v>
          </cell>
          <cell r="AD158">
            <v>42814</v>
          </cell>
          <cell r="AE158">
            <v>42886</v>
          </cell>
        </row>
        <row r="159">
          <cell r="C159" t="str">
            <v>DOPI-MUN-FORTA-BAN-AD-016-2017</v>
          </cell>
          <cell r="M159" t="str">
            <v>REGINO</v>
          </cell>
          <cell r="N159" t="str">
            <v>RUIZ DEL CAMPO</v>
          </cell>
          <cell r="O159" t="str">
            <v>MEDINA</v>
          </cell>
          <cell r="Q159" t="str">
            <v>RUMR771116UA8</v>
          </cell>
          <cell r="V159">
            <v>42811</v>
          </cell>
          <cell r="AA159" t="str">
            <v>Construcción y rehabilitación de guarniciones, banquetas, obra complementaria en camellones en diferentes zonas del municipio de Zapopan, Jalisco, frente 1.</v>
          </cell>
          <cell r="AD159">
            <v>42814</v>
          </cell>
          <cell r="AE159">
            <v>42916</v>
          </cell>
        </row>
        <row r="160">
          <cell r="C160" t="str">
            <v>DOPI-MUN-FORTA-BAN-AD-017-2017</v>
          </cell>
          <cell r="M160" t="str">
            <v>SERGIO CESAR</v>
          </cell>
          <cell r="N160" t="str">
            <v>DIAZ</v>
          </cell>
          <cell r="O160" t="str">
            <v>QUIROZ</v>
          </cell>
          <cell r="Q160" t="str">
            <v>TRA750528286</v>
          </cell>
          <cell r="V160">
            <v>42811</v>
          </cell>
          <cell r="AA160" t="str">
            <v xml:space="preserve">Peatonalización, construcción de banquetas, sustitución de guarniciones, bolardos, primera etapa en la colonia Constitución, municipio de Zapopan, Jalisco.  </v>
          </cell>
          <cell r="AD160">
            <v>42814</v>
          </cell>
          <cell r="AE160">
            <v>42855</v>
          </cell>
        </row>
        <row r="161">
          <cell r="C161" t="str">
            <v>DOPI-MUN-FORTA-BAN-AD-018-2017</v>
          </cell>
          <cell r="M161" t="str">
            <v>GUSTAVO</v>
          </cell>
          <cell r="N161" t="str">
            <v>DURAN</v>
          </cell>
          <cell r="O161" t="str">
            <v>JIMENEZ</v>
          </cell>
          <cell r="Q161" t="str">
            <v>DJA9405184G7</v>
          </cell>
          <cell r="V161">
            <v>42811</v>
          </cell>
          <cell r="AA161" t="str">
            <v>Peatonalización (banquetas y obras de accesibilidad) del área de influencia de las escuelas: Primaria Vicente Guerrero clave 14DPR3223C, Primaria Urbana Juan Escutia 1130 clave 14EPR0783R, Primaria José María Morelos y Pavón clave 14DPR3388L, y Primaria Gustavo Díaz Ordaz clave 14EPR1473U, municipio de Zapopan, Jalisco.</v>
          </cell>
          <cell r="AD161">
            <v>42814</v>
          </cell>
          <cell r="AE161">
            <v>42916</v>
          </cell>
        </row>
        <row r="162">
          <cell r="C162" t="str">
            <v>DOPI-MUN-FORTA-DES-AD-019-2017</v>
          </cell>
          <cell r="M162" t="str">
            <v>CLARISSA GABRIELA</v>
          </cell>
          <cell r="N162" t="str">
            <v>VALDEZ</v>
          </cell>
          <cell r="O162" t="str">
            <v>MANJARREZ</v>
          </cell>
          <cell r="Q162" t="str">
            <v>TGE101215JI6</v>
          </cell>
          <cell r="V162">
            <v>42804</v>
          </cell>
          <cell r="AA162" t="str">
            <v>Desazolve, limpieza, rectificación y obras de protección de cauce y canal del Arroyo La Culebra, en Villas Universidad, Royal Country y Puerta Plata, municipio de Zapopan, Jalisco.</v>
          </cell>
          <cell r="AD162">
            <v>42807</v>
          </cell>
          <cell r="AE162">
            <v>42870</v>
          </cell>
        </row>
        <row r="163">
          <cell r="C163" t="str">
            <v>DOPI-MUN-FORTA-DES-AD-020-2017</v>
          </cell>
          <cell r="M163" t="str">
            <v>JOSE ANTONIO</v>
          </cell>
          <cell r="N163" t="str">
            <v>ALVAREZ</v>
          </cell>
          <cell r="O163" t="str">
            <v>GARCIA</v>
          </cell>
          <cell r="Q163" t="str">
            <v>UMN160125869</v>
          </cell>
          <cell r="V163">
            <v>42804</v>
          </cell>
          <cell r="AA163" t="str">
            <v>Desazolve, limpieza, rectificación y obras de protección de cauce y canal del Arroyos El Húmedo y El caracol y el canal Las Agujas Poniente, municipio de Zapopan, Jalisco.</v>
          </cell>
          <cell r="AD163">
            <v>42807</v>
          </cell>
          <cell r="AE163">
            <v>42870</v>
          </cell>
        </row>
        <row r="164">
          <cell r="C164" t="str">
            <v>DOPI-MUN-FORTA-DES-AD-021-2017</v>
          </cell>
          <cell r="M164" t="str">
            <v>JOSE ANTONIO</v>
          </cell>
          <cell r="N164" t="str">
            <v>ALVAREZ</v>
          </cell>
          <cell r="O164" t="str">
            <v>ZULOAGA</v>
          </cell>
          <cell r="Q164" t="str">
            <v>GDA150928286</v>
          </cell>
          <cell r="V164">
            <v>42804</v>
          </cell>
          <cell r="AA164" t="str">
            <v>Desazolve, limpieza, rectificación, obras de protección y adecuaciones pluviales en el canal Las Agujas Oriente, municipio de Zapopan, Jalisco.</v>
          </cell>
          <cell r="AD164">
            <v>42807</v>
          </cell>
          <cell r="AE164">
            <v>42870</v>
          </cell>
        </row>
        <row r="165">
          <cell r="C165" t="str">
            <v>DOPI-MUN-FORTA-DES-AD-022-2017</v>
          </cell>
          <cell r="M165" t="str">
            <v xml:space="preserve">GUILLERMO ALBERTO </v>
          </cell>
          <cell r="N165" t="str">
            <v>RODRIGUEZ</v>
          </cell>
          <cell r="O165" t="str">
            <v>ALLENDE</v>
          </cell>
          <cell r="Q165" t="str">
            <v>GCM121112J86</v>
          </cell>
          <cell r="V165">
            <v>42804</v>
          </cell>
          <cell r="AA165" t="str">
            <v>Desazolve, limpieza, rectificación y obras de protección en los Arroyos Seco y El Garabato, municipio de Zapopan, Jalisco.</v>
          </cell>
          <cell r="AD165">
            <v>42807</v>
          </cell>
          <cell r="AE165">
            <v>42870</v>
          </cell>
        </row>
        <row r="166">
          <cell r="C166" t="str">
            <v>DOPI-MUN-FORTA-DES-AD-023-2017</v>
          </cell>
          <cell r="M166" t="str">
            <v>OSCAR LUIS</v>
          </cell>
          <cell r="N166" t="str">
            <v>CHAVEZ</v>
          </cell>
          <cell r="O166" t="str">
            <v>GONZALEZ</v>
          </cell>
          <cell r="Q166" t="str">
            <v>ETR070417NS8</v>
          </cell>
          <cell r="V166">
            <v>42804</v>
          </cell>
          <cell r="AA166" t="str">
            <v>Desazolve, limpieza, rectificación, obras de protección y colocación de Gaviones en el Arroyo La Campana frente 1, municipio de Zapopan, Jalisco.</v>
          </cell>
          <cell r="AD166">
            <v>42807</v>
          </cell>
          <cell r="AE166">
            <v>42870</v>
          </cell>
        </row>
        <row r="167">
          <cell r="C167" t="str">
            <v>DOPI-MUN-FORTA-OC-024-AD-2017</v>
          </cell>
          <cell r="M167" t="str">
            <v>ELBA</v>
          </cell>
          <cell r="N167" t="str">
            <v xml:space="preserve">GONZÁLEZ </v>
          </cell>
          <cell r="O167" t="str">
            <v>AGUIRRE</v>
          </cell>
          <cell r="Q167" t="str">
            <v>GUR120612P22</v>
          </cell>
          <cell r="V167">
            <v>42804</v>
          </cell>
          <cell r="AA167" t="str">
            <v>Obras emergentes de reparación y reconstrucción de infraestructura urbana pluvial y sanitaria, en el municipio de Zapopan, frente 1.</v>
          </cell>
          <cell r="AD167">
            <v>42807</v>
          </cell>
          <cell r="AE167">
            <v>42931</v>
          </cell>
        </row>
        <row r="168">
          <cell r="C168" t="str">
            <v>DOPI-MUN-FORTA-OC-AD-025-2017</v>
          </cell>
          <cell r="M168" t="str">
            <v>GUSTAVO ALEJANDRO</v>
          </cell>
          <cell r="N168" t="str">
            <v>LEDEZMA</v>
          </cell>
          <cell r="O168" t="str">
            <v xml:space="preserve"> CERVANTES</v>
          </cell>
          <cell r="Q168" t="str">
            <v>EPR131016I71</v>
          </cell>
          <cell r="V168">
            <v>42804</v>
          </cell>
          <cell r="AA168" t="str">
            <v>Construcción de cárcamos para el manejo de filtraciones de lixiviados en el relleno sanitario Picachos, municipio de Zapopan, Jalisco.</v>
          </cell>
          <cell r="AD168">
            <v>42807</v>
          </cell>
          <cell r="AE168">
            <v>42870</v>
          </cell>
        </row>
        <row r="169">
          <cell r="C169" t="str">
            <v>DOPI-MUN-FORTA-OC-AD-026-2017</v>
          </cell>
          <cell r="M169" t="str">
            <v>MARÍA RAQUEL</v>
          </cell>
          <cell r="N169" t="str">
            <v>ROMO</v>
          </cell>
          <cell r="O169" t="str">
            <v>LÓPEZ</v>
          </cell>
          <cell r="Q169" t="str">
            <v>BCR080530NPA</v>
          </cell>
          <cell r="V169">
            <v>42811</v>
          </cell>
          <cell r="AA169" t="str">
            <v>Trabajos de rehabilitación (manga con curado ultravioleta) de colector sanitario López Mateos - Pinar de la Calma, para evitar socavaciones, en el tramo de Av. Galileo Galilei a La Glorieta Las Fuentes, municipio de Zapopan, Jalisco.</v>
          </cell>
          <cell r="AD169">
            <v>42814</v>
          </cell>
          <cell r="AE169">
            <v>42885</v>
          </cell>
        </row>
        <row r="170">
          <cell r="C170" t="str">
            <v>DOPI-MUN-FORTA-IE-AD-027-2017</v>
          </cell>
          <cell r="M170" t="str">
            <v xml:space="preserve">ALEJANDRO LUIS </v>
          </cell>
          <cell r="N170" t="str">
            <v xml:space="preserve">VAIDOVITS </v>
          </cell>
          <cell r="O170" t="str">
            <v xml:space="preserve"> SCHNURER</v>
          </cell>
          <cell r="Q170" t="str">
            <v>PME930817EV7</v>
          </cell>
          <cell r="V170">
            <v>42811</v>
          </cell>
          <cell r="AA170" t="str">
            <v>Suministro y colocación de estructuras de protección de rayos ultravioleta en los planteles educativos: Primaria Diego Rivera (14DPR3789G) y Escuela Alfredo V. Bonfil (14EPR1115G), municipio de Zapopan, Jalisco.</v>
          </cell>
          <cell r="AD170">
            <v>42814</v>
          </cell>
          <cell r="AE170">
            <v>42901</v>
          </cell>
        </row>
        <row r="171">
          <cell r="C171" t="str">
            <v>DOPI-MUN-FORTA-IE-AD-028-2017</v>
          </cell>
          <cell r="M171" t="str">
            <v>ARTURO RAFAEL</v>
          </cell>
          <cell r="N171" t="str">
            <v>SALAZAR</v>
          </cell>
          <cell r="O171" t="str">
            <v>MARTIN DEL CAMPO</v>
          </cell>
          <cell r="Q171" t="str">
            <v>KCO030922UM6</v>
          </cell>
          <cell r="V171">
            <v>42811</v>
          </cell>
          <cell r="AD171">
            <v>42814</v>
          </cell>
          <cell r="AE171">
            <v>42901</v>
          </cell>
        </row>
        <row r="172">
          <cell r="C172" t="str">
            <v>DOPI-MUN-FORTA-CAL-AD-029-2017</v>
          </cell>
          <cell r="M172" t="str">
            <v>RICARDO</v>
          </cell>
          <cell r="N172" t="str">
            <v>MEZA</v>
          </cell>
          <cell r="O172" t="str">
            <v>PONCE</v>
          </cell>
          <cell r="Q172" t="str">
            <v>CCM1405243C4</v>
          </cell>
          <cell r="V172">
            <v>42797</v>
          </cell>
          <cell r="AA172" t="str">
            <v>Control de calidad de diferentes obras 2017 del municipio de Zapopan, Jalisco, etapa 1.</v>
          </cell>
          <cell r="AD172">
            <v>42800</v>
          </cell>
          <cell r="AE172">
            <v>42978</v>
          </cell>
        </row>
        <row r="173">
          <cell r="C173" t="str">
            <v>DOPI-MUN-RM-PAV-AD-030-2017</v>
          </cell>
          <cell r="M173" t="str">
            <v>JOSE DE JESUS</v>
          </cell>
          <cell r="N173" t="str">
            <v xml:space="preserve">CASTILLO </v>
          </cell>
          <cell r="O173" t="str">
            <v>CARRILLO</v>
          </cell>
          <cell r="Q173" t="str">
            <v>MOP080610I53</v>
          </cell>
          <cell r="V173">
            <v>42811</v>
          </cell>
          <cell r="AA173" t="str">
            <v>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v>
          </cell>
          <cell r="AD173">
            <v>42814</v>
          </cell>
          <cell r="AE173">
            <v>42855</v>
          </cell>
        </row>
        <row r="174">
          <cell r="C174" t="str">
            <v>DOPI-MUN-RM-PAV-AD-031-2017</v>
          </cell>
          <cell r="M174" t="str">
            <v>DAVID EDUARDO</v>
          </cell>
          <cell r="N174" t="str">
            <v>LARA</v>
          </cell>
          <cell r="O174" t="str">
            <v>OCHOA</v>
          </cell>
          <cell r="Q174" t="str">
            <v>CIC080626ER2</v>
          </cell>
          <cell r="V174">
            <v>42811</v>
          </cell>
          <cell r="AA174" t="str">
            <v>Pavimentación, sello y bacheo en las calles Río Tuito, Río Lerma y Río Tequila en el tramo comprendido de Av. Tabachines a Av. Sierra de Tapalpa; y  calle Encinos de Av. Patria a calle Río Cihutatlán, en la colonia Loma Bonita Ejidal, municipio de Zapopan, Jalisco.</v>
          </cell>
          <cell r="AD174">
            <v>42814</v>
          </cell>
          <cell r="AE174">
            <v>42855</v>
          </cell>
        </row>
        <row r="175">
          <cell r="C175" t="str">
            <v>DOPI-MUN-RM-PAV-AD-032-2017</v>
          </cell>
          <cell r="M175" t="str">
            <v>JOSE DE JESUS</v>
          </cell>
          <cell r="N175" t="str">
            <v>PALAFOX</v>
          </cell>
          <cell r="O175" t="str">
            <v>VILLEGAS</v>
          </cell>
          <cell r="Q175" t="str">
            <v>MCO1510113H8</v>
          </cell>
          <cell r="V175">
            <v>42811</v>
          </cell>
          <cell r="AA175" t="str">
            <v>Pavimentación con adoquín y empedrado tradicional con material producto de recuperación en diferentes vialidades en el Municipio de Zapopan, Jalisco.</v>
          </cell>
          <cell r="AD175">
            <v>42814</v>
          </cell>
          <cell r="AE175">
            <v>42901</v>
          </cell>
        </row>
        <row r="176">
          <cell r="C176" t="str">
            <v>DOPI-MUN-RM-PAV-AD-033-2017</v>
          </cell>
          <cell r="M176" t="str">
            <v>ARTURO</v>
          </cell>
          <cell r="N176" t="str">
            <v>SARMIENTO</v>
          </cell>
          <cell r="O176" t="str">
            <v>SANCHEZ</v>
          </cell>
          <cell r="Q176" t="str">
            <v>CON020208696</v>
          </cell>
          <cell r="V176">
            <v>42811</v>
          </cell>
          <cell r="AA176" t="str">
            <v>Rehabilitación de machuelos de concreto hidráulico en la Av. Juan Gil Preciado, tramo 3, municipio de Zapopan, Jalisco.</v>
          </cell>
          <cell r="AD176">
            <v>42814</v>
          </cell>
          <cell r="AE176">
            <v>42855</v>
          </cell>
        </row>
        <row r="177">
          <cell r="C177" t="str">
            <v>DOPI-MUN-RM-PAV-AD-034-2017</v>
          </cell>
          <cell r="M177" t="str">
            <v>ANDRES EDUARDO</v>
          </cell>
          <cell r="N177" t="str">
            <v>ACEVES</v>
          </cell>
          <cell r="O177" t="str">
            <v>CASTAÑEDA</v>
          </cell>
          <cell r="Q177" t="str">
            <v>SCO100609EVA</v>
          </cell>
          <cell r="V177">
            <v>42811</v>
          </cell>
          <cell r="AA177" t="str">
            <v>Construcción de pavimento de concreto hidráulico, banquetas, guarniciones, cajas de válvulas, pozos de visita, descargas sanitarias, señalamiento vertical y horizontal, en el crucero y área de influencia de la calle Ejido en su cruce con Av. Juan Gil Preciado, municipio de Zapopan, Jalisco.</v>
          </cell>
          <cell r="AD177">
            <v>42814</v>
          </cell>
          <cell r="AE177">
            <v>42855</v>
          </cell>
        </row>
        <row r="178">
          <cell r="C178" t="str">
            <v>DOPI-MUN-RM-PAV-AD-035-2017</v>
          </cell>
          <cell r="M178" t="str">
            <v>JOSE DANIEL</v>
          </cell>
          <cell r="N178" t="str">
            <v xml:space="preserve">MARTINEZ </v>
          </cell>
          <cell r="O178" t="str">
            <v>CASILLAS</v>
          </cell>
          <cell r="Q178" t="str">
            <v>CTE060615JX2</v>
          </cell>
          <cell r="V178">
            <v>42811</v>
          </cell>
          <cell r="AA178" t="str">
            <v>Rehabilitación de la superficie de rodamiento y modificación vial del crucero de Prolongación Guadalupe y Periférico Poniente Manuel Gómez Morín, municipio de Zapopan, Jalisco.</v>
          </cell>
          <cell r="AD178">
            <v>42814</v>
          </cell>
          <cell r="AE178">
            <v>42870</v>
          </cell>
        </row>
        <row r="179">
          <cell r="C179" t="str">
            <v>DOPI-MUN-RM-PAV-AD-036-2017</v>
          </cell>
          <cell r="M179" t="str">
            <v>SERGIO CESAR</v>
          </cell>
          <cell r="N179" t="str">
            <v>DIAZ</v>
          </cell>
          <cell r="O179" t="str">
            <v>QUIROZ</v>
          </cell>
          <cell r="Q179" t="str">
            <v>GUM111201IA5</v>
          </cell>
          <cell r="V179">
            <v>42811</v>
          </cell>
          <cell r="AA179" t="str">
            <v>Obra complementaria en la incorporación de Av. Ecónomos a Periférico Poniente, municipio de Zapopan, Jalisco.</v>
          </cell>
          <cell r="AD179">
            <v>42814</v>
          </cell>
          <cell r="AE179">
            <v>42865</v>
          </cell>
        </row>
        <row r="180">
          <cell r="C180" t="str">
            <v>DOPI-MUN-RM-PAV-AD-037-2017</v>
          </cell>
          <cell r="M180" t="str">
            <v>JOSE OMAR</v>
          </cell>
          <cell r="N180" t="str">
            <v>FERNANDEZ</v>
          </cell>
          <cell r="O180" t="str">
            <v>VAZQUEZ</v>
          </cell>
          <cell r="Q180" t="str">
            <v>ECO0908115Z7</v>
          </cell>
          <cell r="V180">
            <v>42804</v>
          </cell>
          <cell r="AA180" t="str">
            <v>Construcción de vialidad con concreto hidráulico calle Cuatlicue desde la calle Ozomatlí a la calle Tul, incluye: guarniciones, banquetas, red de agua potable, alcantarillado, servicios complementarios, zona las Mesas, Municipio de Zapopan, Jalisco.</v>
          </cell>
          <cell r="AD180">
            <v>42807</v>
          </cell>
          <cell r="AE180">
            <v>42855</v>
          </cell>
        </row>
        <row r="181">
          <cell r="C181" t="str">
            <v>DOPI-MUN-RM-IM-AD-038-2017</v>
          </cell>
          <cell r="M181" t="str">
            <v>HUGO ARMANDO</v>
          </cell>
          <cell r="N181" t="str">
            <v>PRIETO</v>
          </cell>
          <cell r="O181" t="str">
            <v>JIMENEZ</v>
          </cell>
          <cell r="Q181" t="str">
            <v>CRP870708I62</v>
          </cell>
          <cell r="V181">
            <v>42811</v>
          </cell>
          <cell r="AA181" t="str">
            <v>Rehabilitación y ampliación de bardas perimetrales de infraestructura hidráulica municipal, primera etapa, municipio de Zapopan, Jalisco.</v>
          </cell>
          <cell r="AD181">
            <v>42814</v>
          </cell>
          <cell r="AE181">
            <v>42886</v>
          </cell>
        </row>
        <row r="182">
          <cell r="C182" t="str">
            <v>DOPI-MUN-RM-ELE-AD-039-2017</v>
          </cell>
          <cell r="M182" t="str">
            <v>JUAN PABLO</v>
          </cell>
          <cell r="N182" t="str">
            <v>VERA</v>
          </cell>
          <cell r="O182" t="str">
            <v>TAVARES</v>
          </cell>
          <cell r="Q182" t="str">
            <v>LCO080228DN2</v>
          </cell>
          <cell r="V182">
            <v>42811</v>
          </cell>
          <cell r="AA182" t="str">
            <v>Instalación de la media tensión en la caseta de vigilancia del parque metropolitano, municipio de Zapopan, Jalisco.</v>
          </cell>
          <cell r="AD182">
            <v>42814</v>
          </cell>
          <cell r="AE182">
            <v>42855</v>
          </cell>
        </row>
        <row r="183">
          <cell r="C183" t="str">
            <v>DOPI-MUN-RM-AP-AD-040-2017</v>
          </cell>
          <cell r="M183" t="str">
            <v>EDGARDO</v>
          </cell>
          <cell r="N183" t="str">
            <v>ZUÑIGA</v>
          </cell>
          <cell r="O183" t="str">
            <v>BERISTAIN</v>
          </cell>
          <cell r="Q183" t="str">
            <v>PIZ070717DX6</v>
          </cell>
          <cell r="V183">
            <v>42804</v>
          </cell>
          <cell r="AA183" t="str">
            <v>Sustitución de red de agua potable en la calle Laurel de la calle Paseo de los Manzanos a calle Palmeras, en la colonia Lomas de Tabachines I sección, en el municipio de Zapopan, Jalisco.</v>
          </cell>
          <cell r="AD183">
            <v>42807</v>
          </cell>
          <cell r="AE183">
            <v>42855</v>
          </cell>
        </row>
        <row r="184">
          <cell r="C184" t="str">
            <v>DOPI-MUN-RM-IH-AD-052-2017</v>
          </cell>
          <cell r="M184" t="str">
            <v xml:space="preserve">EDUARDO </v>
          </cell>
          <cell r="N184" t="str">
            <v>MORA</v>
          </cell>
          <cell r="O184" t="str">
            <v>BLACKALLER</v>
          </cell>
          <cell r="Q184" t="str">
            <v>GCI070523CW4</v>
          </cell>
          <cell r="V184">
            <v>42824</v>
          </cell>
          <cell r="AA184" t="str">
            <v>Construcción de banquetas, línea de agua potable y drenaje sanitario en la Av. Aviación; Construcción de línea de agua potable en la calle Ocampo de Av. Aviación a calle Independencia, calle Privada Ocampo, calle Privada Solidaridad, en la colonia San Juan de Ocotán, municipio de Zapopan, Jalisco.</v>
          </cell>
          <cell r="AD184">
            <v>42826</v>
          </cell>
          <cell r="AE184">
            <v>42885</v>
          </cell>
        </row>
        <row r="185">
          <cell r="M185" t="str">
            <v xml:space="preserve">RODOLFO </v>
          </cell>
          <cell r="N185" t="str">
            <v xml:space="preserve">VELAZQUEZ </v>
          </cell>
          <cell r="O185" t="str">
            <v>ORDOÑEZ</v>
          </cell>
          <cell r="Q185" t="str">
            <v>VIE110125RL4</v>
          </cell>
          <cell r="V185">
            <v>42794</v>
          </cell>
          <cell r="AA185" t="str">
            <v>Construcción de bocas de tormenta para prevención de inundaciones y conexión al colector pluvial Jalisco, ubicado en Tesistán, municipio de Zapopan, Jalisco.</v>
          </cell>
          <cell r="AD185">
            <v>42795</v>
          </cell>
          <cell r="AE185">
            <v>42855</v>
          </cell>
        </row>
        <row r="186">
          <cell r="M186" t="str">
            <v>GUADALUPE ALEJANDRINA</v>
          </cell>
          <cell r="N186" t="str">
            <v>MALDONADO</v>
          </cell>
          <cell r="O186" t="str">
            <v>LARA</v>
          </cell>
          <cell r="Q186" t="str">
            <v>LAE1306263B5</v>
          </cell>
          <cell r="V186">
            <v>42804</v>
          </cell>
          <cell r="AA186" t="str">
            <v>Construcción de canal pluvial prefabricado para prevención de inundaciones en la calle J. García Praga, de la calle Jalisco a la calle Ramón Corona, en la localidad de Tesistán, municipio de Zapopan, Jalisco.</v>
          </cell>
          <cell r="AD186">
            <v>42809</v>
          </cell>
          <cell r="AE186">
            <v>42855</v>
          </cell>
        </row>
        <row r="187">
          <cell r="C187" t="str">
            <v>DOPI-MUN-FORTA-BAN-AD-055-2017</v>
          </cell>
          <cell r="M187" t="str">
            <v xml:space="preserve">HÉCTOR HUGO </v>
          </cell>
          <cell r="N187" t="str">
            <v xml:space="preserve">GUILLÉN </v>
          </cell>
          <cell r="O187" t="str">
            <v>GUERRERO</v>
          </cell>
          <cell r="Q187" t="str">
            <v>CON090306I19</v>
          </cell>
          <cell r="V187">
            <v>42818</v>
          </cell>
          <cell r="AA187" t="str">
            <v>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v>
          </cell>
          <cell r="AD187">
            <v>42828</v>
          </cell>
          <cell r="AE187">
            <v>42886</v>
          </cell>
        </row>
        <row r="188">
          <cell r="C188" t="str">
            <v>DOPI-MUN-RM-DS-AD-056-2017</v>
          </cell>
          <cell r="M188" t="str">
            <v>ARTURO</v>
          </cell>
          <cell r="N188" t="str">
            <v>RANGEL</v>
          </cell>
          <cell r="O188" t="str">
            <v>PAEZ</v>
          </cell>
          <cell r="Q188" t="str">
            <v>CLA890925ER5</v>
          </cell>
          <cell r="V188">
            <v>42842</v>
          </cell>
          <cell r="AA188" t="str">
            <v>Construcción de línea de alejamiento de aguas residuales en la lateral de la carretera a Saltillo, de la calle Casiano Torres Poniente a canal pluvial, en la colonia Villa de Guadalupe, municipio de Zapopan, Jalisco.</v>
          </cell>
          <cell r="AD188">
            <v>42842</v>
          </cell>
          <cell r="AE188">
            <v>42901</v>
          </cell>
        </row>
        <row r="189">
          <cell r="C189" t="str">
            <v>DOPI-MUN-RM-IU-AD-057-2017</v>
          </cell>
          <cell r="M189" t="str">
            <v xml:space="preserve">ALEJANDRO LUIS </v>
          </cell>
          <cell r="N189" t="str">
            <v xml:space="preserve">VAIDOVITS </v>
          </cell>
          <cell r="O189" t="str">
            <v xml:space="preserve"> SCHNURER</v>
          </cell>
          <cell r="Q189" t="str">
            <v>PME930817EV7</v>
          </cell>
          <cell r="V189">
            <v>42846</v>
          </cell>
          <cell r="AA189" t="str">
            <v>Primera etapa de la renovación de imagen urbana en las localidades de Santa Ana Tepetitlán y San Juan de Ocotán, municipio de Zapopan, Jalisco.</v>
          </cell>
          <cell r="AD189">
            <v>42849</v>
          </cell>
          <cell r="AE189">
            <v>42896</v>
          </cell>
        </row>
        <row r="190">
          <cell r="C190" t="str">
            <v>DOPI-MUN-RM-IE-AD-058-2017</v>
          </cell>
          <cell r="M190" t="str">
            <v xml:space="preserve">HÉCTOR ALEJANDRO </v>
          </cell>
          <cell r="N190" t="str">
            <v xml:space="preserve">ORTEGA </v>
          </cell>
          <cell r="O190" t="str">
            <v>ROSALES</v>
          </cell>
          <cell r="Q190" t="str">
            <v>ISS920330811</v>
          </cell>
          <cell r="V190">
            <v>42853</v>
          </cell>
          <cell r="AA190" t="str">
            <v>Suministro e instalación de red de electrificación en media y baja tensión en las calle Ciprés Italiano, Gigante, Olivo, Eucalipto, Monte Sumae, Puesta del Sol y Prol. 1 de Mayo en la colonia El Zapote I; y en las calles Prol. 1 de Mayo y Puesta del Sol de la colonia Hogares de Nuevo México, municipio de Zapopan, Jalisco.</v>
          </cell>
          <cell r="AD190">
            <v>42857</v>
          </cell>
          <cell r="AE190">
            <v>42916</v>
          </cell>
        </row>
        <row r="191">
          <cell r="C191" t="str">
            <v>DOPI-MUN-FORTA-ID-AD-059-2017</v>
          </cell>
          <cell r="M191" t="str">
            <v xml:space="preserve">EDUARDO </v>
          </cell>
          <cell r="N191" t="str">
            <v>MERCADO</v>
          </cell>
          <cell r="O191" t="str">
            <v>VAZQUEZ</v>
          </cell>
          <cell r="Q191" t="str">
            <v>ANI1102217W2</v>
          </cell>
          <cell r="V191">
            <v>42846</v>
          </cell>
          <cell r="AA191" t="str">
            <v>Construcción de Andadores, Recubrimientos y Acabados en la Unidad Deportiva Paseos del Briseño Municipio de Zapopan, Jalisco.</v>
          </cell>
          <cell r="AD191">
            <v>42849</v>
          </cell>
          <cell r="AE191">
            <v>42946</v>
          </cell>
        </row>
        <row r="192">
          <cell r="C192" t="str">
            <v>DOPI-MUN-FORTA-SERV-AD-060-2017</v>
          </cell>
          <cell r="M192" t="str">
            <v>JOSE ALEJANDRO</v>
          </cell>
          <cell r="N192" t="str">
            <v>ALVA</v>
          </cell>
          <cell r="O192" t="str">
            <v>DELGADO</v>
          </cell>
          <cell r="Q192" t="str">
            <v>SOC150806E69</v>
          </cell>
          <cell r="V192">
            <v>42825</v>
          </cell>
          <cell r="AA192" t="str">
            <v>Control de calidad de diferentes obras 2017 del municipio de Zapopan, Jalisco, etapa 2.</v>
          </cell>
          <cell r="AD192">
            <v>42828</v>
          </cell>
          <cell r="AE192">
            <v>43008</v>
          </cell>
        </row>
        <row r="193">
          <cell r="C193" t="str">
            <v>DOPI-MUN-RM-PAV-AD-061-2017</v>
          </cell>
          <cell r="M193" t="str">
            <v>HECTOR EUGENIO</v>
          </cell>
          <cell r="N193" t="str">
            <v>DE LA TORRE</v>
          </cell>
          <cell r="O193" t="str">
            <v>MENCHACA</v>
          </cell>
          <cell r="Q193" t="str">
            <v>ITO951005HY5</v>
          </cell>
          <cell r="V193">
            <v>42874</v>
          </cell>
          <cell r="AA193" t="str">
            <v>Construcción de pavimento de concreto hidráulico, incluye: agua potable, alcantarillado, guarniciones, banquetas, accesibilidad y servicios complementarios en la Calle Loma del Sol, de Calle Loma Real a Calle Loma del Valle, Colonia Loma Chica Municipio de Zapopan, Jalisco.</v>
          </cell>
          <cell r="AD193">
            <v>42877</v>
          </cell>
          <cell r="AE193">
            <v>42872</v>
          </cell>
        </row>
        <row r="194">
          <cell r="C194" t="str">
            <v>DOPI-MUN-RM-PAV-AD-062-2017</v>
          </cell>
          <cell r="M194" t="str">
            <v>ALBERTO</v>
          </cell>
          <cell r="N194" t="str">
            <v>BAÑUELOS</v>
          </cell>
          <cell r="O194" t="str">
            <v>GARCIA</v>
          </cell>
          <cell r="Q194" t="str">
            <v>GCO100226SU6</v>
          </cell>
          <cell r="V194">
            <v>42874</v>
          </cell>
          <cell r="AA194" t="str">
            <v>Construcción de pavimento de concreto hidráulico, incluye: agua potable, alcantarillado, guarniciones, banquetas, accesibilidad y servicios complementarios en la Calle María Perfecta Llamas de Calle Lucio Martínez a Calle Febronio Lara, Colonia Villa de Guadalupe, Municipio de Zapopan, Jalisco.</v>
          </cell>
          <cell r="AD194">
            <v>42877</v>
          </cell>
          <cell r="AE194">
            <v>42993</v>
          </cell>
        </row>
        <row r="195">
          <cell r="C195" t="str">
            <v>DOPI-MUN-FORTA-EP-AD-067-2017</v>
          </cell>
          <cell r="M195" t="str">
            <v>HECTOR ANDRES</v>
          </cell>
          <cell r="N195" t="str">
            <v>VALADES</v>
          </cell>
          <cell r="O195" t="str">
            <v>SANCHEZ</v>
          </cell>
          <cell r="Q195" t="str">
            <v>CON130531FB8</v>
          </cell>
          <cell r="V195">
            <v>42879</v>
          </cell>
          <cell r="AA195" t="str">
            <v>Instalación de reja de acero, reubicación de mobiliario existente y trabajos de adecuación en el estanque de retención de aguas pluviales en Santa María del Pueblito, municipio de Zapopan, Jalisco.</v>
          </cell>
          <cell r="AD195">
            <v>42880</v>
          </cell>
          <cell r="AE195">
            <v>42916</v>
          </cell>
        </row>
        <row r="196">
          <cell r="C196" t="str">
            <v>DOPI-MUN-FORTA-ID-AD-068-2017</v>
          </cell>
          <cell r="M196" t="str">
            <v>OSCAR LUIS</v>
          </cell>
          <cell r="N196" t="str">
            <v>CHAVEZ</v>
          </cell>
          <cell r="O196" t="str">
            <v>GONZALEZ</v>
          </cell>
          <cell r="Q196" t="str">
            <v>ETR070417NS8</v>
          </cell>
          <cell r="V196">
            <v>42867</v>
          </cell>
          <cell r="AA196" t="str">
            <v>Rehabilitación de infraestructura de servicios en el Centro Acuático Zapopan, Unidad Deportiva Francisco Villa y en la Unidad Deportiva Base Aérea, municipio de Zapopan, Jalisco.</v>
          </cell>
          <cell r="AD196">
            <v>42870</v>
          </cell>
          <cell r="AE196">
            <v>42940</v>
          </cell>
        </row>
        <row r="197">
          <cell r="C197" t="str">
            <v>DOPI-MUN-FORTA-CONT-AD-069-2017</v>
          </cell>
          <cell r="M197" t="str">
            <v>JOSE</v>
          </cell>
          <cell r="N197" t="str">
            <v xml:space="preserve">GUILLEN </v>
          </cell>
          <cell r="O197" t="str">
            <v xml:space="preserve">DIAZ  </v>
          </cell>
          <cell r="Q197" t="str">
            <v>SPC050127BR0</v>
          </cell>
          <cell r="V197">
            <v>42881</v>
          </cell>
          <cell r="AA197" t="str">
            <v>Obras de prevención de inundaciones en la calle Privada Guayabitos, colonia Lomas de Tabachines, municipio de Zapopan, Jalisco.</v>
          </cell>
          <cell r="AD197">
            <v>42884</v>
          </cell>
          <cell r="AE197">
            <v>42916</v>
          </cell>
        </row>
        <row r="198">
          <cell r="C198" t="str">
            <v>DOPI-MUN-FORTA-CAL-AD-070-2017</v>
          </cell>
          <cell r="M198" t="str">
            <v>JOEL</v>
          </cell>
          <cell r="N198" t="str">
            <v>ZULOAGA</v>
          </cell>
          <cell r="O198" t="str">
            <v>ACEVES</v>
          </cell>
          <cell r="Q198" t="str">
            <v>TSC100210E48</v>
          </cell>
          <cell r="V198">
            <v>42845</v>
          </cell>
          <cell r="AA198" t="str">
            <v>Control de calidad de diferentes obras 2017 del municipio de Zapopan, Jalisco, etapa 3.</v>
          </cell>
          <cell r="AD198">
            <v>42849</v>
          </cell>
          <cell r="AE198">
            <v>43013</v>
          </cell>
        </row>
        <row r="199">
          <cell r="C199" t="str">
            <v>DOPI-MUN-FORTA-PROY-AD-071-2017</v>
          </cell>
          <cell r="M199" t="str">
            <v>JOSE DE JESUS</v>
          </cell>
          <cell r="N199" t="str">
            <v xml:space="preserve">CASTILLO </v>
          </cell>
          <cell r="O199" t="str">
            <v>CARRILLO</v>
          </cell>
          <cell r="Q199" t="str">
            <v>MOP080610I53</v>
          </cell>
          <cell r="V199">
            <v>42845</v>
          </cell>
          <cell r="AA199" t="str">
            <v>Estudios de mecánica de suelos y diseño de pavimentos de diferentes obras 2017 del municipio de Zapopan, Jalisco, etapa 1.</v>
          </cell>
          <cell r="AD199">
            <v>42849</v>
          </cell>
          <cell r="AE199">
            <v>43013</v>
          </cell>
        </row>
        <row r="200">
          <cell r="C200" t="str">
            <v>DOPI-MUN-FORTA-BAN-AD-072-2017</v>
          </cell>
          <cell r="M200" t="str">
            <v>ERICK</v>
          </cell>
          <cell r="N200" t="str">
            <v>VILLASEÑOR</v>
          </cell>
          <cell r="O200" t="str">
            <v>GUTIERREZ</v>
          </cell>
          <cell r="Q200" t="str">
            <v>PCO140829425</v>
          </cell>
          <cell r="V200">
            <v>42859</v>
          </cell>
          <cell r="AA200" t="str">
            <v>Peatonalización, construcción de banquetas, sustitución de guarniciones y bolardos en calle Ingeniero Alberto Mora López, desde la calle Elote a Carretera a Saltillo, zona las Mesas, municipio de Zapopan, Jalisco.</v>
          </cell>
          <cell r="AD200">
            <v>42863</v>
          </cell>
          <cell r="AE200">
            <v>42916</v>
          </cell>
        </row>
        <row r="201">
          <cell r="C201" t="str">
            <v>DOPI-MUN-FORTA-ID-AD-073-2017</v>
          </cell>
          <cell r="M201" t="str">
            <v>DAVID</v>
          </cell>
          <cell r="N201" t="str">
            <v>LEDESMA</v>
          </cell>
          <cell r="O201" t="str">
            <v>MARTIN DEL CAMPO</v>
          </cell>
          <cell r="Q201" t="str">
            <v>LEMD880217U53</v>
          </cell>
          <cell r="V201">
            <v>42853</v>
          </cell>
          <cell r="AA201" t="str">
            <v>Construcción de Skatepark en la Unidad Deportiva Miguel de la Madrid, municipio de Zapopan, Jalisco.</v>
          </cell>
          <cell r="AD201">
            <v>42857</v>
          </cell>
          <cell r="AE201">
            <v>42946</v>
          </cell>
        </row>
        <row r="202">
          <cell r="C202" t="str">
            <v>DOPI-MUN-FORTA-IM-AD-074-2017</v>
          </cell>
          <cell r="M202" t="str">
            <v>LEOBARDO</v>
          </cell>
          <cell r="N202" t="str">
            <v>PRECIADO</v>
          </cell>
          <cell r="O202" t="str">
            <v>ZEPEDA</v>
          </cell>
          <cell r="Q202" t="str">
            <v>CCA971126QC9</v>
          </cell>
          <cell r="V202">
            <v>42886</v>
          </cell>
          <cell r="AA202" t="str">
            <v>Construcción de muros de mampostería y obra complementaria en el parque El Polvorín II, municipio de Zapopan, Jalisco.</v>
          </cell>
          <cell r="AD202">
            <v>42887</v>
          </cell>
          <cell r="AE202">
            <v>42931</v>
          </cell>
        </row>
        <row r="203">
          <cell r="C203" t="str">
            <v>DOPI-MUN-FORTA-PAV-AD-075-2017</v>
          </cell>
          <cell r="M203" t="str">
            <v>OFELIA</v>
          </cell>
          <cell r="N203" t="str">
            <v>BARRAGAN</v>
          </cell>
          <cell r="O203" t="str">
            <v>REYNAGA</v>
          </cell>
          <cell r="Q203" t="str">
            <v>IIA160303MFA</v>
          </cell>
          <cell r="V203">
            <v>42867</v>
          </cell>
          <cell r="AA203" t="str">
            <v>Construcción de pavimento de concreto hidráulico, banquetas, adecuaciones de la red sanitaria e hidráulica, en la Av. D, colonia El Tigre II, municipio de Zapopan, Jalisco, tramo 2.</v>
          </cell>
          <cell r="AD203">
            <v>42870</v>
          </cell>
          <cell r="AE203">
            <v>42940</v>
          </cell>
        </row>
        <row r="204">
          <cell r="C204" t="str">
            <v>DOPI-MUN-FORTA-DS-AD-076-2017</v>
          </cell>
          <cell r="M204" t="str">
            <v>LUIS ERAZMO</v>
          </cell>
          <cell r="N204" t="str">
            <v>DURAN</v>
          </cell>
          <cell r="O204" t="str">
            <v>GODINA</v>
          </cell>
          <cell r="Q204" t="str">
            <v>CUP130507Q85</v>
          </cell>
          <cell r="V204">
            <v>42842</v>
          </cell>
          <cell r="AA204" t="str">
            <v>Sustitución de red de drenaje sanitario en calles de la colonia Lomas de Tabachines I sección, en el municipio de Zapopan, Jalisco, primera etapa.</v>
          </cell>
          <cell r="AD204">
            <v>42842</v>
          </cell>
          <cell r="AE204">
            <v>42931</v>
          </cell>
        </row>
        <row r="205">
          <cell r="C205" t="str">
            <v>DOPI-MUN-FORTA-PROY-AD-094-2017</v>
          </cell>
          <cell r="M205" t="str">
            <v>PATRICIA</v>
          </cell>
          <cell r="N205" t="str">
            <v>NAMUR</v>
          </cell>
          <cell r="O205" t="str">
            <v>MARTÍNEZ</v>
          </cell>
          <cell r="Q205" t="str">
            <v>STE990210U51</v>
          </cell>
          <cell r="V205">
            <v>42886</v>
          </cell>
          <cell r="AA205" t="str">
            <v>Estudios básicos topográficos para diferentes obras 2017, frente 1, del municipio de Zapopan, Jalisco.</v>
          </cell>
          <cell r="AD205">
            <v>42887</v>
          </cell>
          <cell r="AE205">
            <v>43039</v>
          </cell>
        </row>
        <row r="206">
          <cell r="C206" t="str">
            <v>DOPI-MUN-FORTA-BAN-AD-119-2017</v>
          </cell>
          <cell r="M206" t="str">
            <v xml:space="preserve">Eduardo </v>
          </cell>
          <cell r="N206" t="str">
            <v>Plascencia</v>
          </cell>
          <cell r="O206" t="str">
            <v>Macias</v>
          </cell>
          <cell r="Q206" t="str">
            <v>CEP080129EK6</v>
          </cell>
          <cell r="V206">
            <v>42899</v>
          </cell>
          <cell r="AA206" t="str">
            <v>Peatonalización, construcción de banquetas, sustitución de guarniciones, bolardos y obra complementaria en el estacionamiento en el Hospital General de Zapopan, Municipio de Zapopan, Jalisco.</v>
          </cell>
          <cell r="AD206">
            <v>42900</v>
          </cell>
          <cell r="AE206">
            <v>42942</v>
          </cell>
        </row>
        <row r="207">
          <cell r="C207" t="str">
            <v>DOPI-MUN-RM-BACHEO-AD-120-2017</v>
          </cell>
          <cell r="M207" t="str">
            <v>Luis Armando</v>
          </cell>
          <cell r="N207" t="str">
            <v>Linares</v>
          </cell>
          <cell r="O207" t="str">
            <v>Cacho</v>
          </cell>
          <cell r="Q207" t="str">
            <v>URC160310857</v>
          </cell>
          <cell r="V207">
            <v>42919</v>
          </cell>
          <cell r="AA207" t="str">
            <v>Programa emergente de bacheo, renivelaciones y sellado en vialidades, Zona Centro, Frente 1, municipio de Zapopan, Jalisco.</v>
          </cell>
          <cell r="AD207">
            <v>42919</v>
          </cell>
          <cell r="AE207">
            <v>42993</v>
          </cell>
        </row>
        <row r="208">
          <cell r="C208" t="str">
            <v>DOPI-MUN-RM-BACHEO-AD-121-2017</v>
          </cell>
          <cell r="M208" t="str">
            <v>José Antonio</v>
          </cell>
          <cell r="N208" t="str">
            <v>Álvarez</v>
          </cell>
          <cell r="O208" t="str">
            <v>Garcia</v>
          </cell>
          <cell r="Q208" t="str">
            <v>UMN160125869</v>
          </cell>
          <cell r="V208">
            <v>42919</v>
          </cell>
          <cell r="AA208" t="str">
            <v>Programa emergente de bacheo, renivelaciones y sellado en vialidades, Zona Centro, Frente 2, municipio de Zapopan, Jalisco.</v>
          </cell>
          <cell r="AD208">
            <v>42919</v>
          </cell>
          <cell r="AE208">
            <v>42993</v>
          </cell>
        </row>
        <row r="209">
          <cell r="C209" t="str">
            <v>DOPI-MUN-RM-IM-AD-122-2017</v>
          </cell>
          <cell r="M209" t="str">
            <v>J. JESÚS</v>
          </cell>
          <cell r="N209" t="str">
            <v>CONTRERAS</v>
          </cell>
          <cell r="O209" t="str">
            <v>VILLANUEVA</v>
          </cell>
          <cell r="Q209" t="str">
            <v>CCO0404226D8</v>
          </cell>
          <cell r="V209">
            <v>42915</v>
          </cell>
          <cell r="AA209" t="str">
            <v>Rehabilitación de Salón Vecinal, zona 6, Colonia Paseos del Sol, municipio de Zapopan, Jalisco, primera etapa.</v>
          </cell>
          <cell r="AD209">
            <v>42919</v>
          </cell>
          <cell r="AE209">
            <v>42962</v>
          </cell>
        </row>
        <row r="210">
          <cell r="C210" t="str">
            <v>DOPI-MUN-R33-IH-AD-123-2017</v>
          </cell>
          <cell r="M210" t="str">
            <v>CARLOS CELSO</v>
          </cell>
          <cell r="N210" t="str">
            <v>GARCÍA</v>
          </cell>
          <cell r="O210" t="str">
            <v>QUINTERO</v>
          </cell>
          <cell r="Q210" t="str">
            <v>GCH070702SH8</v>
          </cell>
          <cell r="V210">
            <v>42915</v>
          </cell>
          <cell r="AA210" t="str">
            <v>Revestimiento de canal pluvial y obras de drenaje, sobre calle Pinos de calle Periodistas a calle Fresno, en la colonia Lomas del Centinela, municipio de Zapopan, Jalisco. Primera etapa.</v>
          </cell>
          <cell r="AD210">
            <v>42919</v>
          </cell>
          <cell r="AE210">
            <v>42981</v>
          </cell>
        </row>
        <row r="211">
          <cell r="C211" t="str">
            <v>DOPI-MUN-RM-BACHEO-AD-124-2017</v>
          </cell>
          <cell r="M211" t="str">
            <v>Rodrigo</v>
          </cell>
          <cell r="N211" t="str">
            <v>Ramos</v>
          </cell>
          <cell r="O211" t="str">
            <v>Garibi</v>
          </cell>
          <cell r="Q211" t="str">
            <v>CMA070307RU6</v>
          </cell>
          <cell r="V211">
            <v>42919</v>
          </cell>
          <cell r="AA211" t="str">
            <v>Programa emergente de bacheo, renivelaciones y sellado en vialidades, Zona Sur, Frente 1, municipio de Zapopan, Jalisco.</v>
          </cell>
          <cell r="AD211">
            <v>42919</v>
          </cell>
          <cell r="AE211">
            <v>42993</v>
          </cell>
        </row>
        <row r="212">
          <cell r="C212" t="str">
            <v>DOPI-MUN-RM-BACHEO-AD-125-2017</v>
          </cell>
          <cell r="M212" t="str">
            <v>SALVADOR ALEJANDRO</v>
          </cell>
          <cell r="N212" t="str">
            <v>CURIEL</v>
          </cell>
          <cell r="O212" t="str">
            <v>SANCHEZ</v>
          </cell>
          <cell r="Q212" t="str">
            <v>PYC1004139E5</v>
          </cell>
          <cell r="V212">
            <v>42919</v>
          </cell>
          <cell r="AA212" t="str">
            <v>Programa emergente de bacheo, renivelaciones y sellado en vialidades, Zona Surponiente, Frente 1, municipio de Zapopan, Jalisco.</v>
          </cell>
          <cell r="AD212">
            <v>42919</v>
          </cell>
          <cell r="AE212">
            <v>42993</v>
          </cell>
        </row>
        <row r="213">
          <cell r="C213" t="str">
            <v>DOPI-MUN-RM-BACHEO-AD-126-2017</v>
          </cell>
          <cell r="M213" t="str">
            <v>Mario</v>
          </cell>
          <cell r="N213" t="str">
            <v>Beltrán</v>
          </cell>
          <cell r="O213" t="str">
            <v>Rodríguez</v>
          </cell>
          <cell r="Q213" t="str">
            <v>CDB0506068Z4</v>
          </cell>
          <cell r="V213">
            <v>42919</v>
          </cell>
          <cell r="AA213" t="str">
            <v>Programa emergente de bacheo, renivelaciones y sellado en vialidades, Zona Poniente, Frente 1, municipio de Zapopan, Jalisco.</v>
          </cell>
          <cell r="AD213">
            <v>42919</v>
          </cell>
          <cell r="AE213">
            <v>42993</v>
          </cell>
        </row>
        <row r="214">
          <cell r="C214" t="str">
            <v>DOPI-MUN-RM-BACHEO-AD-127-2017</v>
          </cell>
          <cell r="M214" t="str">
            <v>CARLOS OMAR</v>
          </cell>
          <cell r="N214" t="str">
            <v>FIGUEROA</v>
          </cell>
          <cell r="O214" t="str">
            <v>CORONADO</v>
          </cell>
          <cell r="Q214" t="str">
            <v>VGT1402126T0</v>
          </cell>
          <cell r="V214">
            <v>42920</v>
          </cell>
          <cell r="AA214" t="str">
            <v>Programa emergente de bacheo, renivelaciones y sellado en vialidades, Zona Norponiente, Frente 1, municipio de Zapopan, Jalisco.</v>
          </cell>
          <cell r="AD214">
            <v>42920</v>
          </cell>
          <cell r="AE214">
            <v>42994</v>
          </cell>
        </row>
        <row r="215">
          <cell r="C215" t="str">
            <v>DOPI-MUN-RM-BACHEO-AD-128-2017</v>
          </cell>
          <cell r="M215" t="str">
            <v>ANGEL SALOMON</v>
          </cell>
          <cell r="N215" t="str">
            <v>RINCON</v>
          </cell>
          <cell r="O215" t="str">
            <v>DE LA ROSA</v>
          </cell>
          <cell r="Q215" t="str">
            <v>AAR120507VA9</v>
          </cell>
          <cell r="V215">
            <v>42919</v>
          </cell>
          <cell r="AA215" t="str">
            <v>Programa emergente de bacheo, renivelaciones y sellado en vialidades, Zona Norte, Frente 1, municipio de Zapopan, Jalisco.</v>
          </cell>
          <cell r="AD215">
            <v>42919</v>
          </cell>
          <cell r="AE215">
            <v>42993</v>
          </cell>
        </row>
        <row r="216">
          <cell r="C216" t="str">
            <v>DOPI-MUN-RM-BACHEO-AD-129-2017</v>
          </cell>
          <cell r="M216" t="str">
            <v xml:space="preserve">HUGO </v>
          </cell>
          <cell r="N216" t="str">
            <v>BOJORQUEZ</v>
          </cell>
          <cell r="O216" t="str">
            <v>SANCHEZ</v>
          </cell>
          <cell r="Q216" t="str">
            <v>BJE1308202Z2</v>
          </cell>
          <cell r="V216">
            <v>42919</v>
          </cell>
          <cell r="AA216" t="str">
            <v>Programa emergente de bacheo por el método de bacheo a presión en vialidades, Zonas Centro y Sur, Frente 2, municipio de Zapopan, Jalisco.</v>
          </cell>
          <cell r="AD216">
            <v>42919</v>
          </cell>
          <cell r="AE216">
            <v>42993</v>
          </cell>
        </row>
        <row r="217">
          <cell r="C217" t="str">
            <v>DOPI-MUN-FORTA-IM-AD-130-2017</v>
          </cell>
          <cell r="M217" t="str">
            <v>CLAUDIA PATRICIA</v>
          </cell>
          <cell r="N217" t="str">
            <v xml:space="preserve">SANCHEZ </v>
          </cell>
          <cell r="O217" t="str">
            <v>VALLES</v>
          </cell>
          <cell r="Q217" t="str">
            <v>CJM121221Q73</v>
          </cell>
          <cell r="V217">
            <v>42919</v>
          </cell>
          <cell r="AA217" t="str">
            <v>Construcción de plazoleta, área de juegos infantiles, pintura y albañilería en el Centro de Desarrollo Infantil No. 1 Constitución, ubicado en la colonia La Constitución; acabado, albañilería y obra complementaria en el Centro de Desarrollo Infantil No. 5 El Colli, ubicado en El Colli; Ampliación de cocina y comedor en el Centro de Desarrollo Infantil No. 9 Villa de Guadalupe, ubicado en la colonia Villa de Guadalupe, municipio de Zapopan, Jalisco.</v>
          </cell>
          <cell r="AD217">
            <v>42920</v>
          </cell>
          <cell r="AE217">
            <v>42977</v>
          </cell>
        </row>
        <row r="218">
          <cell r="C218" t="str">
            <v>DOPI-MUN-FORTA-IS-AD-131-2017</v>
          </cell>
          <cell r="M218" t="str">
            <v xml:space="preserve">Eduardo </v>
          </cell>
          <cell r="N218" t="str">
            <v>Plascencia</v>
          </cell>
          <cell r="O218" t="str">
            <v>Macias</v>
          </cell>
          <cell r="Q218" t="str">
            <v>CEP080129EK6</v>
          </cell>
          <cell r="V218">
            <v>42919</v>
          </cell>
          <cell r="AA218" t="str">
            <v>Obra complementaria para la terminación del Centro de Salud Atemajac, ubicado en la colonia Atemajac del Valle, municipio de Zapopan, Jalisco.</v>
          </cell>
          <cell r="AD218">
            <v>42920</v>
          </cell>
          <cell r="AE218">
            <v>42977</v>
          </cell>
        </row>
        <row r="219">
          <cell r="C219" t="str">
            <v>DOPI-MUN-FORTA-IU-AD-132-2017</v>
          </cell>
          <cell r="M219" t="str">
            <v xml:space="preserve">RAFAEL </v>
          </cell>
          <cell r="N219" t="str">
            <v>ARREGUIN</v>
          </cell>
          <cell r="O219" t="str">
            <v>RENTERIA</v>
          </cell>
          <cell r="Q219" t="str">
            <v>ADI130522MB7</v>
          </cell>
          <cell r="V219">
            <v>42940</v>
          </cell>
          <cell r="AA219" t="str">
            <v>Primera etapa de la renovación de imagen urbana en la colonia Díaz Ordaz, municipio de Zapopan, Jalisco.</v>
          </cell>
          <cell r="AD219">
            <v>42940</v>
          </cell>
          <cell r="AE219">
            <v>43022</v>
          </cell>
        </row>
        <row r="220">
          <cell r="C220" t="str">
            <v>DOPI-MUN-RM-PAV-AD-133-2017</v>
          </cell>
          <cell r="M220" t="str">
            <v xml:space="preserve">SANTIAGO </v>
          </cell>
          <cell r="N220" t="str">
            <v xml:space="preserve">BUENO </v>
          </cell>
          <cell r="O220" t="str">
            <v>FUENTES</v>
          </cell>
          <cell r="Q220" t="str">
            <v>CSB940503EB3</v>
          </cell>
          <cell r="V220">
            <v>42935</v>
          </cell>
          <cell r="AA220" t="str">
            <v>Pavimentación con mezcla asfáltica de calle de los Mosquiteros, de calle Paseo de los Virreyes a calle Paseo de lo Robles y calle Paseo de los Robles, de calle de los Mosquiteros a calle del Conde, incluye: guarniciones, banquetas y señalética, en las colonias San Wenceslao y Villa Universitaria, municipio de Zapopan, Jalisco.</v>
          </cell>
          <cell r="AD220">
            <v>42936</v>
          </cell>
          <cell r="AE220">
            <v>42977</v>
          </cell>
        </row>
        <row r="221">
          <cell r="C221" t="str">
            <v>DOPI-MUN-RM-IM-AD-134-2017</v>
          </cell>
          <cell r="M221" t="str">
            <v>DAVID SERGIO</v>
          </cell>
          <cell r="N221" t="str">
            <v>DOMINGUEZ</v>
          </cell>
          <cell r="O221" t="str">
            <v>MEZA</v>
          </cell>
          <cell r="Q221" t="str">
            <v>VCO9412201J0</v>
          </cell>
          <cell r="V221">
            <v>42935</v>
          </cell>
          <cell r="AA221" t="str">
            <v>Automatización del sistema de bombeo en la red de drenaje, cárcamo de agua residuales y construcción de losa de techo en la colonia Lomas Atlas, municipio de Zapopan, Jalisco.</v>
          </cell>
          <cell r="AD221">
            <v>42936</v>
          </cell>
          <cell r="AE221">
            <v>42977</v>
          </cell>
        </row>
        <row r="222">
          <cell r="C222" t="str">
            <v>DOPI-MUN-FORTA-PAV-AD-135-2017</v>
          </cell>
          <cell r="M222" t="str">
            <v>TOMAS</v>
          </cell>
          <cell r="N222" t="str">
            <v>SANDOVAL</v>
          </cell>
          <cell r="O222" t="str">
            <v>ALVAREZ</v>
          </cell>
          <cell r="Q222" t="str">
            <v>CRM910909K48</v>
          </cell>
          <cell r="V222">
            <v>42930</v>
          </cell>
          <cell r="AA222" t="str">
            <v>Construcción de pavimento de concreto hidráulico, incluye: agua potable, alcantarillado, guarniciones, banquetas, accesibilidad y servicios complementarios en la calle Loma del Sol, de calle Loma Real a calle Loma del Valle, colonia Loma Chica, municipio de Zapopan, Jalisco, segunda etapa.</v>
          </cell>
          <cell r="AD222">
            <v>42930</v>
          </cell>
          <cell r="AE222">
            <v>42993</v>
          </cell>
        </row>
        <row r="223">
          <cell r="C223" t="str">
            <v>DOPI-MUN-FORTA-PAV-AD-136-2017</v>
          </cell>
          <cell r="M223" t="str">
            <v xml:space="preserve">GUILLERMO EMMANUEL </v>
          </cell>
          <cell r="N223" t="str">
            <v xml:space="preserve">LARA </v>
          </cell>
          <cell r="O223" t="str">
            <v>OCHOA</v>
          </cell>
          <cell r="Q223" t="str">
            <v>AGC070223J95</v>
          </cell>
          <cell r="V223">
            <v>42935</v>
          </cell>
          <cell r="AA223" t="str">
            <v>Sello asfáltico, renivelaciones y bacheo en vialidades de la colonia Loma Bonita Ejidal, municipio de Zapopan, Jalisco, primera etapa.</v>
          </cell>
          <cell r="AD223">
            <v>42935</v>
          </cell>
          <cell r="AE223">
            <v>42962</v>
          </cell>
        </row>
        <row r="224">
          <cell r="C224" t="str">
            <v>DOPI-MUN-RM-PAV-AD-137-2017</v>
          </cell>
          <cell r="M224" t="str">
            <v>JESUS DAVID</v>
          </cell>
          <cell r="N224" t="str">
            <v xml:space="preserve">GARZA </v>
          </cell>
          <cell r="O224" t="str">
            <v>GARCIA</v>
          </cell>
          <cell r="Q224" t="str">
            <v>CEA010615GT0</v>
          </cell>
          <cell r="V224">
            <v>42935</v>
          </cell>
          <cell r="AA224" t="str">
            <v>Construcción de camino de acceso a la celda 5 del relleno sanitario Picachos, municipio de Zapopan, Jalisco.</v>
          </cell>
          <cell r="AD224">
            <v>42935</v>
          </cell>
          <cell r="AE224">
            <v>42962</v>
          </cell>
        </row>
        <row r="225">
          <cell r="C225" t="str">
            <v>DOPI-MUN-FORTA-ID-AD-138-2017</v>
          </cell>
          <cell r="M225" t="str">
            <v>JAIME FERNANDO</v>
          </cell>
          <cell r="N225" t="str">
            <v>ALVAREZ</v>
          </cell>
          <cell r="O225" t="str">
            <v>LOZANO</v>
          </cell>
          <cell r="Q225" t="str">
            <v>IMU120820NM7</v>
          </cell>
          <cell r="V225">
            <v>42935</v>
          </cell>
          <cell r="AA225" t="str">
            <v>Albañilería, acabados, pasto sintético y mobiliario urbano en el Polvorín, municipio de Zapopan, Jalisco.</v>
          </cell>
          <cell r="AD225">
            <v>42935</v>
          </cell>
          <cell r="AE225">
            <v>42977</v>
          </cell>
        </row>
        <row r="226">
          <cell r="C226" t="str">
            <v>DOPI-MUN-RM-IE-AD-139-2017</v>
          </cell>
          <cell r="M226" t="str">
            <v xml:space="preserve">JESÚS </v>
          </cell>
          <cell r="N226" t="str">
            <v>CUETO</v>
          </cell>
          <cell r="O226" t="str">
            <v>GARCÍA</v>
          </cell>
          <cell r="Q226" t="str">
            <v>CMI0312018W4</v>
          </cell>
          <cell r="V226">
            <v>42982</v>
          </cell>
          <cell r="AA226" t="str">
            <v>Estructura para protección de rayos ultravioleta en la secundaria 18 mixta, ubicada en Privada Circunvalación Oriente, entre Calzada de Los Fresnos y calzada de Los Ángeles, en la colonia Ciudad Granja, municipio de Zapopan, Jalisco.</v>
          </cell>
          <cell r="AD226">
            <v>42989</v>
          </cell>
          <cell r="AE226">
            <v>43063</v>
          </cell>
        </row>
        <row r="227">
          <cell r="C227" t="str">
            <v>DOPI-MUN-R33R-DS-AD-140-2017</v>
          </cell>
          <cell r="M227" t="str">
            <v>IRMA GUADALUPE</v>
          </cell>
          <cell r="N227" t="str">
            <v>RIZO</v>
          </cell>
          <cell r="O227" t="str">
            <v>ACUÑA</v>
          </cell>
          <cell r="Q227" t="str">
            <v>FGC100909TW9</v>
          </cell>
          <cell r="V227">
            <v>42937</v>
          </cell>
          <cell r="AA227" t="str">
            <v>Construcción de red de drenaje sanitario en las calles: San Nicolás, El Palomar e Ing. Gómez, en la colonia los Cajetes, municipio de Zapopan, Jalisco.</v>
          </cell>
          <cell r="AD227">
            <v>42940</v>
          </cell>
          <cell r="AE227">
            <v>43023</v>
          </cell>
        </row>
        <row r="228">
          <cell r="C228" t="str">
            <v>DOPI-MUN-FORTA-BAN-AD-141-2017</v>
          </cell>
          <cell r="M228" t="str">
            <v>SERGIO CESAR</v>
          </cell>
          <cell r="N228" t="str">
            <v>DÍAZ</v>
          </cell>
          <cell r="O228" t="str">
            <v>QUIROZ</v>
          </cell>
          <cell r="Q228" t="str">
            <v>TRA750528286</v>
          </cell>
          <cell r="V228">
            <v>42920</v>
          </cell>
          <cell r="AA228" t="str">
            <v>Peatonalización, construcción de banquetas, sustitución de guarniciones, bolardos, en Prolongación Av. Guadalupe, de Prolongación Mariano Otero al Arroyo El Garabato, municipio de Zapopan, Jalisco.</v>
          </cell>
          <cell r="AD228">
            <v>42920</v>
          </cell>
          <cell r="AE228">
            <v>42962</v>
          </cell>
        </row>
        <row r="229">
          <cell r="C229" t="str">
            <v>DOPI-MUN-RM-PAV-AD-142-2017</v>
          </cell>
          <cell r="M229" t="str">
            <v>JOSÉ OMAR</v>
          </cell>
          <cell r="N229" t="str">
            <v>FERNÁNDEZ</v>
          </cell>
          <cell r="O229" t="str">
            <v>VÁZQUEZ</v>
          </cell>
          <cell r="Q229" t="str">
            <v>ECO0908115Z7</v>
          </cell>
          <cell r="V229">
            <v>42982</v>
          </cell>
          <cell r="AA229" t="str">
            <v>Pavimentación con adoquín y empedrado tradicional con material producto de recuperación en diferentes vialidades en el municipio de Zapopan, Jalisco, frente 2.</v>
          </cell>
          <cell r="AD229">
            <v>42989</v>
          </cell>
          <cell r="AE229">
            <v>43078</v>
          </cell>
        </row>
        <row r="230">
          <cell r="C230" t="str">
            <v>DOPI-MUN-RM-PROY-AD-143-2017</v>
          </cell>
          <cell r="M230" t="str">
            <v>CARLOS CELSO</v>
          </cell>
          <cell r="N230" t="str">
            <v>GARCÍA</v>
          </cell>
          <cell r="O230" t="str">
            <v>QUINTERO</v>
          </cell>
          <cell r="Q230" t="str">
            <v>GCH070702SH8</v>
          </cell>
          <cell r="V230">
            <v>42982</v>
          </cell>
          <cell r="AA230" t="str">
            <v>Elaboración de proyecto arquitectónico, acabados e instalaciones eléctricas, voz y datos, hidrosanitarias y gas, aire acondicionado, sonido y gases medicinales para la construcción de la unidad de urgencias de la Cruz Verde, en el kilómetro 1, Carretera a Colotlán, municipio de Zapopan, Jalisco.</v>
          </cell>
          <cell r="AD230">
            <v>42989</v>
          </cell>
          <cell r="AE230">
            <v>43058</v>
          </cell>
        </row>
        <row r="231">
          <cell r="C231" t="str">
            <v>DOPI-MUN-R33R-AP-AD-144-2017</v>
          </cell>
          <cell r="M231" t="str">
            <v>JOSÉ DE JESÚS</v>
          </cell>
          <cell r="N231" t="str">
            <v>PALAFOX</v>
          </cell>
          <cell r="O231" t="str">
            <v>VILLEGAS</v>
          </cell>
          <cell r="Q231" t="str">
            <v>MCO1510113H8</v>
          </cell>
          <cell r="V231">
            <v>42944</v>
          </cell>
          <cell r="AA231" t="str">
            <v>Construcción de red de agua potable y drenaje sanitario en la calle Ramón López Velarde de calle Pablo Neruda a cerrada, y calle Juan José Arreola de calle Pablo Neruda a cerrada, colonia La Coronilla, municipio de Zapopan, Jalisco.</v>
          </cell>
          <cell r="AD231">
            <v>42945</v>
          </cell>
          <cell r="AE231">
            <v>43028</v>
          </cell>
        </row>
        <row r="232">
          <cell r="C232" t="str">
            <v>DOPI-MUN-R33-IH-AD-163-2017</v>
          </cell>
          <cell r="M232" t="str">
            <v>JOSÉ JAIME</v>
          </cell>
          <cell r="N232" t="str">
            <v>CAMARENA</v>
          </cell>
          <cell r="O232" t="str">
            <v>CORREA</v>
          </cell>
          <cell r="Q232" t="str">
            <v>FCO110711N24</v>
          </cell>
          <cell r="V232">
            <v>42950</v>
          </cell>
          <cell r="AA232" t="str">
            <v>Revestimiento de canal pluvial y obras de drenaje, sobre calle Pinos de calle Periodistas a calle Fresno, en la colonia Lomas del Centinela, municipio de Zapopan, Jalisco. Primera etapa.</v>
          </cell>
          <cell r="AD232">
            <v>42954</v>
          </cell>
          <cell r="AE232">
            <v>43016</v>
          </cell>
        </row>
        <row r="233">
          <cell r="C233" t="str">
            <v>DOPI-EST-CR-PAV-AD-179-2017</v>
          </cell>
          <cell r="M233" t="str">
            <v>OSCAR</v>
          </cell>
          <cell r="N233" t="str">
            <v>MARTÍNEZ</v>
          </cell>
          <cell r="O233" t="str">
            <v>RODRÍGUEZ</v>
          </cell>
          <cell r="Q233" t="str">
            <v>CCO070612CT2</v>
          </cell>
          <cell r="V233">
            <v>42958</v>
          </cell>
          <cell r="AA233" t="str">
            <v>Construcción de la primera etapa de la calle Paseo de los Membrillos de Paseo de los Aguacates a Paseo de los Camichines de concreto hidráulico en la zona de la Mesa Colorada, incluye: guarniciones, banquetas, red de agua potable, alcantarillado y servicios complementarios, municipio de Zapopan, Jalisco.</v>
          </cell>
          <cell r="AD233">
            <v>42958</v>
          </cell>
          <cell r="AE233">
            <v>43008</v>
          </cell>
        </row>
        <row r="234">
          <cell r="C234" t="str">
            <v>DOPI-MUN-RM-APDS-180-2017</v>
          </cell>
          <cell r="M234" t="str">
            <v>ERICK</v>
          </cell>
          <cell r="N234" t="str">
            <v>VILLASEÑOR</v>
          </cell>
          <cell r="O234" t="str">
            <v>GUTIÉRREZ</v>
          </cell>
          <cell r="Q234" t="str">
            <v>PCO140829425</v>
          </cell>
          <cell r="V234">
            <v>42951</v>
          </cell>
          <cell r="AA234" t="str">
            <v>Construcción de línea de impulsión del pozo a tanque de almacenamiento y rehabilitación de tanque superficial de almacenamiento de agua en el Ejido Copalita, municipio de Zapopan, Jalisco.</v>
          </cell>
          <cell r="AD234">
            <v>42954</v>
          </cell>
          <cell r="AE234">
            <v>43008</v>
          </cell>
        </row>
        <row r="235">
          <cell r="C235" t="str">
            <v>DOPI-MUN-R33R-APDS-AD-181-2017</v>
          </cell>
          <cell r="M235" t="str">
            <v>RAFAEL AUGUSTO</v>
          </cell>
          <cell r="N235" t="str">
            <v>CABALLERO</v>
          </cell>
          <cell r="O235" t="str">
            <v>QUIRARTE</v>
          </cell>
          <cell r="Q235" t="str">
            <v>PAT110331HH0</v>
          </cell>
          <cell r="V235">
            <v>42977</v>
          </cell>
          <cell r="AA235" t="str">
            <v>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v>
          </cell>
          <cell r="AD235">
            <v>42982</v>
          </cell>
          <cell r="AE235">
            <v>43039</v>
          </cell>
        </row>
        <row r="236">
          <cell r="C236" t="str">
            <v>DOPI-MUN-RM-MOV-AD-182-2017</v>
          </cell>
          <cell r="M236" t="str">
            <v>JULIO EDUARDO</v>
          </cell>
          <cell r="N236" t="str">
            <v>LÓPEZ</v>
          </cell>
          <cell r="O236" t="str">
            <v>PÉREZ</v>
          </cell>
          <cell r="Q236" t="str">
            <v>PEI020208RW0</v>
          </cell>
          <cell r="V236">
            <v>42920</v>
          </cell>
          <cell r="AA236" t="str">
            <v>Señalética horizontal-vertical y obra complementaria en la calle Jalisco de la calle Aldama a la calle San Francisco, en la localidad de Tesistán, municipio de Zapopan, Jalisco.</v>
          </cell>
          <cell r="AD236">
            <v>42926</v>
          </cell>
          <cell r="AE236">
            <v>42962</v>
          </cell>
        </row>
        <row r="237">
          <cell r="C237" t="str">
            <v>DOPI-MUN-R33R-AP-AD-183-2017</v>
          </cell>
          <cell r="M237" t="str">
            <v>MIGUEL ÁNGEL</v>
          </cell>
          <cell r="N237" t="str">
            <v>RUÍZ</v>
          </cell>
          <cell r="O237" t="str">
            <v>CASTAÑEDA</v>
          </cell>
          <cell r="Q237" t="str">
            <v>SIA011224UN1</v>
          </cell>
          <cell r="V237">
            <v>42979</v>
          </cell>
          <cell r="AA237" t="str">
            <v>Construcción de red de agua potable en la calle Vicente Guerrero de Pinos a la Av. Agua Fría, Privada Vicente Guerrero, Andador Pinos de Pinos a calle Agua Fría en la colonia Miguel Hidalgo, municipio de Zapopan, Jalisco.</v>
          </cell>
          <cell r="AD237">
            <v>42984</v>
          </cell>
          <cell r="AE237">
            <v>43033</v>
          </cell>
        </row>
        <row r="238">
          <cell r="C238" t="str">
            <v>DOPI-MUN-CUSMAX-SER-AD-204-2017</v>
          </cell>
          <cell r="M238" t="str">
            <v xml:space="preserve">GERARDO </v>
          </cell>
          <cell r="N238" t="str">
            <v>SÁNCHEZ</v>
          </cell>
          <cell r="O238" t="str">
            <v>SENDRA</v>
          </cell>
          <cell r="Q238" t="str">
            <v>EPI070531P51</v>
          </cell>
          <cell r="V238">
            <v>43012</v>
          </cell>
          <cell r="AA238" t="str">
            <v>Proyecto ejecutivo arquitectónico de la primera etapa de integración peatonal y paisaje de espacio público en la zona Andares, en el municipio de Zapopan, Jalisco.</v>
          </cell>
          <cell r="AD238">
            <v>43012</v>
          </cell>
          <cell r="AE238">
            <v>43131</v>
          </cell>
        </row>
        <row r="239">
          <cell r="C239" t="str">
            <v>DOPI-MUN-RM-IS-AD-205-2017</v>
          </cell>
          <cell r="M239" t="str">
            <v>JOSÉ DE JESÚS</v>
          </cell>
          <cell r="N239" t="str">
            <v>ROMERO</v>
          </cell>
          <cell r="O239" t="str">
            <v>GARCÍA</v>
          </cell>
          <cell r="Q239" t="str">
            <v>URC160310857</v>
          </cell>
          <cell r="V239">
            <v>42993</v>
          </cell>
          <cell r="AA239" t="str">
            <v>Adecuación del área de urgencias y obra complementaria en la Cruz Verde Federalismo, municipio de Zapopan, Jalisco.</v>
          </cell>
          <cell r="AD239">
            <v>42996</v>
          </cell>
          <cell r="AE239">
            <v>43049</v>
          </cell>
        </row>
        <row r="240">
          <cell r="C240" t="str">
            <v>DOPI-MUN-FORTA-PAV-AD-206-2017</v>
          </cell>
          <cell r="M240" t="str">
            <v>HUGO ARMANDO</v>
          </cell>
          <cell r="N240" t="str">
            <v>PRIETO</v>
          </cell>
          <cell r="O240" t="str">
            <v>JIMÉNEZ</v>
          </cell>
          <cell r="Q240" t="str">
            <v>CRP870708I62</v>
          </cell>
          <cell r="V240">
            <v>42984</v>
          </cell>
          <cell r="AA240" t="str">
            <v>Obra complementaria en la pavimentación de la calle Mármol, de calle Cantera al Arroyo y en la calle Obsidiana, de calle Ópalo a calle Coral, en la Colonia Pedregal de Zapopan (Loma del Pedregal), en Zapopan, Jalisco.</v>
          </cell>
          <cell r="AD240">
            <v>42984</v>
          </cell>
          <cell r="AE240">
            <v>43028</v>
          </cell>
        </row>
        <row r="241">
          <cell r="C241" t="str">
            <v>DOPI-MUN-R33R-AP-AD-207-2017</v>
          </cell>
          <cell r="M241" t="str">
            <v>ROBERTO</v>
          </cell>
          <cell r="N241" t="str">
            <v>FLORES</v>
          </cell>
          <cell r="O241" t="str">
            <v>ARREOLA</v>
          </cell>
          <cell r="Q241" t="str">
            <v>ESC930617KW9</v>
          </cell>
          <cell r="V241">
            <v>43005</v>
          </cell>
          <cell r="AA241" t="str">
            <v>Construcción de red de agua potable del pozo El Trébol a la colonia La Agrícola, en Santa Ana Tepetitlan, Municipio de Zapopan, Jalisco.</v>
          </cell>
          <cell r="AD241">
            <v>43005</v>
          </cell>
          <cell r="AE241">
            <v>43084</v>
          </cell>
        </row>
        <row r="242">
          <cell r="C242" t="str">
            <v>DOPI-MUN-FORTA-CONT-AD-208-2017</v>
          </cell>
          <cell r="M242" t="str">
            <v>EMILIO MIGUEL</v>
          </cell>
          <cell r="N242" t="str">
            <v>ZULOAGA</v>
          </cell>
          <cell r="O242" t="str">
            <v>SAENZ</v>
          </cell>
          <cell r="Q242" t="str">
            <v>CSN150923FGA</v>
          </cell>
          <cell r="V242">
            <v>43003</v>
          </cell>
          <cell r="AA242" t="str">
            <v>Obra emergente para la reconstrucción de muro de contención en el arroyo seco en el tramo de la calle Michoacán a Privada Arroyo y en el tramo de la calle Guanajuato y Tlaxcala a calle Michoacán, en la colonia El Mante, Municipio de Zapopan, Jalisco.</v>
          </cell>
          <cell r="AD242">
            <v>43004</v>
          </cell>
          <cell r="AE242">
            <v>43034</v>
          </cell>
        </row>
        <row r="243">
          <cell r="C243" t="str">
            <v>DOPI-EST-CR-PAV-AD-209-2017</v>
          </cell>
          <cell r="M243" t="str">
            <v>J. JESÚS</v>
          </cell>
          <cell r="N243" t="str">
            <v>CONTRERAS</v>
          </cell>
          <cell r="O243" t="str">
            <v>VILLANUEVA</v>
          </cell>
          <cell r="Q243" t="str">
            <v>CCO0404226D8</v>
          </cell>
          <cell r="V243">
            <v>43005</v>
          </cell>
          <cell r="AA243" t="str">
            <v>Construcción de la segunda etapa de la calle Juárez, de la calle 5 de Mayo a calle Primavera con concreto hidráulico en Santa Ana Tepetitlan, incluye: guarniciones, banquetas, red de agua potable, alcantarillado y alumbrado público, Municipio de Zapopan, Jalisco.</v>
          </cell>
          <cell r="AD243">
            <v>43006</v>
          </cell>
          <cell r="AE243">
            <v>43069</v>
          </cell>
        </row>
        <row r="244">
          <cell r="C244" t="str">
            <v>DOPI-MUN-RM-PROY-AD-210-2017</v>
          </cell>
          <cell r="M244" t="str">
            <v xml:space="preserve">JUAN IGNACIO </v>
          </cell>
          <cell r="N244" t="str">
            <v xml:space="preserve">MICHEL </v>
          </cell>
          <cell r="O244" t="str">
            <v>ZEPEDA</v>
          </cell>
          <cell r="Q244" t="str">
            <v>PCO051124BL2</v>
          </cell>
          <cell r="V244">
            <v>42947</v>
          </cell>
          <cell r="AA244" t="str">
            <v>Elaboración de proyecto ejecutivo para la rehabilitación del área infantil y del Parque Unidad de Manejo Ambiental Villa Fantasía, colonia Tepeyac, Municipio de Zapopan, Jalisco.</v>
          </cell>
          <cell r="AD244">
            <v>42948</v>
          </cell>
          <cell r="AE244">
            <v>43054</v>
          </cell>
        </row>
        <row r="245">
          <cell r="C245" t="str">
            <v>DOPI-MUN-R33R-ELE-AD-211-2017</v>
          </cell>
          <cell r="M245" t="str">
            <v>JOSÉ DE JESÚS</v>
          </cell>
          <cell r="N245" t="str">
            <v>MARQUEZ</v>
          </cell>
          <cell r="O245" t="str">
            <v>ÁVILA</v>
          </cell>
          <cell r="Q245" t="str">
            <v>FUT1110275V9</v>
          </cell>
          <cell r="V245">
            <v>43021</v>
          </cell>
          <cell r="AA245" t="str">
            <v>Electrificación en las calles 1ra Norte, 2a Norte, 11a Poniente y 10a Poniente, colonia Jardines de Nuevo México, municipio de Zapopan, Jalisco.</v>
          </cell>
          <cell r="AD245">
            <v>43024</v>
          </cell>
          <cell r="AE245">
            <v>43084</v>
          </cell>
        </row>
        <row r="246">
          <cell r="C246" t="str">
            <v>DOPI-MUN-RM-MOV-AD-212-2017</v>
          </cell>
          <cell r="M246" t="str">
            <v>ANTONIO</v>
          </cell>
          <cell r="N246" t="str">
            <v>CARRILLO</v>
          </cell>
          <cell r="O246" t="str">
            <v>SEGURA</v>
          </cell>
          <cell r="Q246" t="str">
            <v>ITE080214UD3</v>
          </cell>
          <cell r="V246">
            <v>43013</v>
          </cell>
          <cell r="AA246" t="str">
            <v>Señalética horizontal-vertical y obra complementaria en la Prolongación Laureles de Av. Del Rodeo a Periférico Norte Manuel Gómez Morín, municipio de Zapopan, Jalisco.</v>
          </cell>
          <cell r="AD246">
            <v>43017</v>
          </cell>
          <cell r="AE246">
            <v>43039</v>
          </cell>
        </row>
        <row r="247">
          <cell r="C247" t="str">
            <v>DOPI-EST-CR-PAV-AD-213-2017</v>
          </cell>
          <cell r="M247" t="str">
            <v>FELIPE DANIEL II</v>
          </cell>
          <cell r="N247" t="str">
            <v>NUÑEZ</v>
          </cell>
          <cell r="O247" t="str">
            <v>PINZON</v>
          </cell>
          <cell r="Q247" t="str">
            <v>GNU120809KX1</v>
          </cell>
          <cell r="V247">
            <v>43011</v>
          </cell>
          <cell r="AA247" t="str">
            <v>Construcción de la primera etapa de la calle Elote de calle Chícharo a calle Chícharo con concreto hidráulico en la zona de la Mesa Colorada, incluye: guarniciones, banquetas, red de agua potable, alcantarillado y alumbrado público, municipio de Zapopan, Jalisco.</v>
          </cell>
          <cell r="AD247">
            <v>43018</v>
          </cell>
          <cell r="AE247">
            <v>43084</v>
          </cell>
        </row>
        <row r="248">
          <cell r="C248" t="str">
            <v>DOPI-MUN-CUSMAX-PROY-AD-214-2017</v>
          </cell>
          <cell r="M248" t="str">
            <v xml:space="preserve">RODOLFO </v>
          </cell>
          <cell r="N248" t="str">
            <v xml:space="preserve">VELAZQUEZ </v>
          </cell>
          <cell r="O248" t="str">
            <v>ORDOÑEZ</v>
          </cell>
          <cell r="Q248" t="str">
            <v>VIE110125RL4</v>
          </cell>
          <cell r="V248">
            <v>43017</v>
          </cell>
          <cell r="AA248" t="str">
            <v>Elaboración de proyectos arquitectónicos para diferentes obras del programa Cusmax 2017, frente 1, municipio de Zapopan, Jalisco.</v>
          </cell>
          <cell r="AD248">
            <v>43018</v>
          </cell>
          <cell r="AE248">
            <v>43100</v>
          </cell>
        </row>
        <row r="249">
          <cell r="C249" t="str">
            <v>DOPI-MUN-RM-PROY-AD-215-2017</v>
          </cell>
          <cell r="M249" t="str">
            <v>ENRIQUE FRANCISCO</v>
          </cell>
          <cell r="N249" t="str">
            <v>TOUSSAINT</v>
          </cell>
          <cell r="O249" t="str">
            <v>OCHOA</v>
          </cell>
          <cell r="Q249" t="str">
            <v>GAT920520R72</v>
          </cell>
          <cell r="V249">
            <v>43017</v>
          </cell>
          <cell r="AA249" t="str">
            <v>Elaboración de proyecto ejecutivo para la construcción del parque lineal constituyentes, proyecto arquitectónico para la rehabilitación de la vialidad Constituyentes en el tramo comprendido entre el Centro Cultural Constitución y la Glorieta Gusa, ubicados en la colonia Constitución municipio de Zapopan, Jalisco.</v>
          </cell>
          <cell r="AD249">
            <v>43018</v>
          </cell>
          <cell r="AE249">
            <v>43100</v>
          </cell>
        </row>
        <row r="250">
          <cell r="C250" t="str">
            <v>DOPI-MUN-CUSMAX-SER-AD-229-2017</v>
          </cell>
          <cell r="M250" t="str">
            <v>JUAN FRANCISCO</v>
          </cell>
          <cell r="N250" t="str">
            <v>TOSCANO</v>
          </cell>
          <cell r="O250" t="str">
            <v>LASES</v>
          </cell>
          <cell r="Q250" t="str">
            <v>IDO100427QG2</v>
          </cell>
          <cell r="V250">
            <v>43017</v>
          </cell>
          <cell r="AA250" t="str">
            <v>Diagnóstico y proyecto ejecutivo de las obras a realizar para mitigar los impactos que generará la construcción vertical con incremento del coeficiente de utilización de suelo (CUS) en la zona de Guadalupe – Los Cubos – Jardines Universidad y zona de Plaza del Sol – Loma Bonita, en el municipio de Zapopan, Jalisco.</v>
          </cell>
          <cell r="AD250">
            <v>43018</v>
          </cell>
          <cell r="AE250">
            <v>43109</v>
          </cell>
        </row>
        <row r="251">
          <cell r="C251" t="str">
            <v>DOPI-MUN-RM-BAN-AD-230-2017</v>
          </cell>
          <cell r="M251" t="str">
            <v>MARÍA DE LOURDES</v>
          </cell>
          <cell r="N251" t="str">
            <v xml:space="preserve">CASTAÑEDA </v>
          </cell>
          <cell r="O251" t="str">
            <v>LACARIERE</v>
          </cell>
          <cell r="Q251" t="str">
            <v>LED091006JG1</v>
          </cell>
          <cell r="V251">
            <v>43011</v>
          </cell>
          <cell r="AA251" t="str">
            <v>Peatonalización, construcción de banquetas, sustitución de guarniciones, bolardos, accesibilidad primera etapa en la colonia La Tuzania Ejidal, municipio de Zapopan, Jalisco.</v>
          </cell>
          <cell r="AD251">
            <v>43018</v>
          </cell>
          <cell r="AE251">
            <v>43084</v>
          </cell>
        </row>
        <row r="252">
          <cell r="C252" t="str">
            <v>DOPI-MUN-RM-BAN-AD-231-2017</v>
          </cell>
          <cell r="M252" t="str">
            <v>JOSÉ DE JESÚS</v>
          </cell>
          <cell r="N252" t="str">
            <v>CÁRDENAS</v>
          </cell>
          <cell r="O252" t="str">
            <v xml:space="preserve">SOLÍS </v>
          </cell>
          <cell r="Q252" t="str">
            <v>CCE170517HW2</v>
          </cell>
          <cell r="V252">
            <v>43017</v>
          </cell>
          <cell r="AA252" t="str">
            <v>Peatonalización, construcción de banquetas, sustitución de guarniciones, rehabilitación de empedrado, bolardos, accesibilidad,  primera etapa en Cuidad Granja, municipio de Zapopan, Jalisco.</v>
          </cell>
          <cell r="AD252">
            <v>43018</v>
          </cell>
          <cell r="AE252">
            <v>43084</v>
          </cell>
        </row>
        <row r="253">
          <cell r="C253" t="str">
            <v>DOPI-MUN-CUSMAX-BAN-AD-232-2017</v>
          </cell>
          <cell r="M253" t="str">
            <v>ELIZABETH GUADALUPE</v>
          </cell>
          <cell r="N253" t="str">
            <v>LÓPEZ</v>
          </cell>
          <cell r="O253" t="str">
            <v>GUTIÉRREZ</v>
          </cell>
          <cell r="Q253" t="str">
            <v>SED080712SJ7</v>
          </cell>
          <cell r="V253">
            <v>43013</v>
          </cell>
          <cell r="AA253" t="str">
            <v>Primera etapa de la peatonalización en la colonia Los Pinos (incluye: machuelos, banquetas, accesibilidad universal, bolardos y nomenclatura).</v>
          </cell>
          <cell r="AD253">
            <v>43014</v>
          </cell>
          <cell r="AE253">
            <v>43083</v>
          </cell>
        </row>
        <row r="255">
          <cell r="C255" t="str">
            <v>DOPI-MUN-CUSMAX-BAN-AD-234-2017</v>
          </cell>
          <cell r="M255" t="str">
            <v xml:space="preserve">HUGO ALEJANDRO </v>
          </cell>
          <cell r="N255" t="str">
            <v xml:space="preserve">ALMANZOR </v>
          </cell>
          <cell r="O255" t="str">
            <v>GONZÁLEZ</v>
          </cell>
          <cell r="Q255" t="str">
            <v>ACO0806185Z3</v>
          </cell>
          <cell r="V255">
            <v>43019</v>
          </cell>
          <cell r="AA255" t="str">
            <v>Primera etapa de la peatonalización en la colonia Jardines de San Ignacio (incluye: machuelos, banquetas, accesibilidad universal, bolardos y nomenclatura).</v>
          </cell>
          <cell r="AD255">
            <v>43024</v>
          </cell>
          <cell r="AE255">
            <v>43084</v>
          </cell>
        </row>
        <row r="256">
          <cell r="C256" t="str">
            <v>DOPI-MUN-RM-BAN-AD-240-2017</v>
          </cell>
          <cell r="M256" t="str">
            <v>GUSTAVO</v>
          </cell>
          <cell r="N256" t="str">
            <v>DURAN</v>
          </cell>
          <cell r="O256" t="str">
            <v>JIMÉNEZ</v>
          </cell>
          <cell r="Q256" t="str">
            <v>DJA9405184G7</v>
          </cell>
          <cell r="V256">
            <v>43021</v>
          </cell>
          <cell r="AA256" t="str">
            <v>Peatonalización, construcción de banquetas, guarniciones, accesibilidad, bolardos, en el cruce de Av. Acueducto y Av. Patria, reparación de junta de calzada en la Rampa de ingreso al paso elevado de Av. Patria y Av. Acueducto, municipio de Zapopan, Jalisco.</v>
          </cell>
          <cell r="AD256">
            <v>43022</v>
          </cell>
          <cell r="AE256">
            <v>43054</v>
          </cell>
        </row>
        <row r="257">
          <cell r="C257" t="str">
            <v>DOPI-MUN-RM-BAN-AD-241-2017</v>
          </cell>
          <cell r="M257" t="str">
            <v xml:space="preserve">RAFAEL </v>
          </cell>
          <cell r="N257" t="str">
            <v>OROZCO</v>
          </cell>
          <cell r="O257" t="str">
            <v>MARTÍNEZ</v>
          </cell>
          <cell r="Q257" t="str">
            <v>CCO020123366</v>
          </cell>
          <cell r="V257">
            <v>43021</v>
          </cell>
          <cell r="AA257" t="str">
            <v>Restauración de banquetas a base de piedra sangre de pichón en el ingreso posterior de la Presidencial Municipal, municipio de Zapopan, Jalisco, primera etapa.</v>
          </cell>
          <cell r="AD257">
            <v>43022</v>
          </cell>
          <cell r="AE257">
            <v>43054</v>
          </cell>
        </row>
        <row r="258">
          <cell r="C258" t="str">
            <v>DOPI-MUN-R33R-IS-AD-242-2017</v>
          </cell>
          <cell r="M258" t="str">
            <v>J. JESÚS</v>
          </cell>
          <cell r="N258" t="str">
            <v>CONTRERAS</v>
          </cell>
          <cell r="O258" t="str">
            <v>VILLANUEVA</v>
          </cell>
          <cell r="Q258" t="str">
            <v>CCO0404226D8</v>
          </cell>
          <cell r="V258">
            <v>43048</v>
          </cell>
          <cell r="AA258" t="str">
            <v>Construcción de red de drenaje en privada Ignacio Sandoval, en la colonia La Tarjea, municipio de Zapopan, Jalisco.</v>
          </cell>
          <cell r="AD258">
            <v>43018</v>
          </cell>
          <cell r="AE258">
            <v>43084</v>
          </cell>
        </row>
        <row r="259">
          <cell r="C259" t="str">
            <v>DOPI-MUN-R33R-IH-AD-243-2017</v>
          </cell>
          <cell r="M259" t="str">
            <v>J. JESÚS</v>
          </cell>
          <cell r="N259" t="str">
            <v>CONTRERAS</v>
          </cell>
          <cell r="O259" t="str">
            <v>VILLANUEVA</v>
          </cell>
          <cell r="Q259" t="str">
            <v>CCO0404226D8</v>
          </cell>
          <cell r="V259">
            <v>43048</v>
          </cell>
          <cell r="AA259" t="str">
            <v>Construcción de red de drenaje en calle Las Palmas de calle Los Pinos calle Sauce en la colonia El Álamo, municipio de Zapopan, Jalisco.</v>
          </cell>
          <cell r="AD259">
            <v>43018</v>
          </cell>
          <cell r="AE259">
            <v>43084</v>
          </cell>
        </row>
        <row r="260">
          <cell r="C260" t="str">
            <v>DOPI-MUN-RM-MOV-AD-244-2017</v>
          </cell>
          <cell r="M260" t="str">
            <v xml:space="preserve">HUGO RAFAEL </v>
          </cell>
          <cell r="N260" t="str">
            <v>CABRERA</v>
          </cell>
          <cell r="O260" t="str">
            <v>ORTINEZ</v>
          </cell>
          <cell r="Q260" t="str">
            <v>CAOH671024T38</v>
          </cell>
          <cell r="V260">
            <v>43024</v>
          </cell>
          <cell r="AA260" t="str">
            <v>Señalización vertical y horizontal en diferentes zonas del municipio de Zapopan, Jalisco, frente 1.</v>
          </cell>
          <cell r="AD260">
            <v>43025</v>
          </cell>
          <cell r="AE260">
            <v>43131</v>
          </cell>
        </row>
        <row r="261">
          <cell r="C261" t="str">
            <v>DOPI-MUN-RM-PROY-AD-245-2017</v>
          </cell>
          <cell r="M261" t="str">
            <v>RICARDO</v>
          </cell>
          <cell r="N261" t="str">
            <v>GONZÁLEZ</v>
          </cell>
          <cell r="O261" t="str">
            <v>CARRANZA</v>
          </cell>
          <cell r="Q261" t="str">
            <v>GOCR801106234</v>
          </cell>
          <cell r="V261">
            <v>43018</v>
          </cell>
          <cell r="AA261" t="str">
            <v>Elaboración de proyecto ejecutivo para la construcción de alberca para rehabilitación de niños con fibrosis muscular, municipio de Zapopan, Jalisco.</v>
          </cell>
          <cell r="AD261">
            <v>43019</v>
          </cell>
          <cell r="AE261">
            <v>43063</v>
          </cell>
        </row>
        <row r="262">
          <cell r="C262" t="str">
            <v>DOPI-MUN-RM-IM-AD-246-2017</v>
          </cell>
          <cell r="M262" t="str">
            <v>JESÚS SOCRATES</v>
          </cell>
          <cell r="N262" t="str">
            <v>ZATARAIN</v>
          </cell>
          <cell r="O262" t="str">
            <v>OROZCO</v>
          </cell>
          <cell r="Q262" t="str">
            <v>ZAOJ8703019N0</v>
          </cell>
          <cell r="V262">
            <v>43039</v>
          </cell>
          <cell r="AA262" t="str">
            <v>Remodelación de módulos de baño, construcción de caseta de ingreso y de área de estacionamiento en las oficinas de catastro ubicadas sobre Periférico Norte y Parres Arias, colonia Parque Industrial Los Belenes, municipio de Zapopan, Jalisco.</v>
          </cell>
          <cell r="AD262">
            <v>43040</v>
          </cell>
          <cell r="AE262">
            <v>43100</v>
          </cell>
        </row>
        <row r="263">
          <cell r="C263" t="str">
            <v>DOPI-MUN-R33R-AP-AD-247-2017</v>
          </cell>
          <cell r="M263" t="str">
            <v>MARÍA DE LOURDES</v>
          </cell>
          <cell r="N263" t="str">
            <v>PARRA</v>
          </cell>
          <cell r="O263" t="str">
            <v>PRECIADO</v>
          </cell>
          <cell r="Q263" t="str">
            <v>CCA121113SY9</v>
          </cell>
          <cell r="V263">
            <v>43024</v>
          </cell>
          <cell r="AA263" t="str">
            <v>Construcción de red de agua potable en la calle Fresno, de la calle Eucalipto a calle Encino, y calle Ciprés de la calle de los Ocotes a cerrada, en la colonia Lomas del Centinela, municipio de Zapopan, Jalisco.</v>
          </cell>
          <cell r="AD263">
            <v>43025</v>
          </cell>
          <cell r="AE263">
            <v>43089</v>
          </cell>
        </row>
        <row r="264">
          <cell r="C264" t="str">
            <v>DOPI-MUN-RM-IM-AD-248-2017</v>
          </cell>
          <cell r="M264" t="str">
            <v>JOSÉ OMAR</v>
          </cell>
          <cell r="N264" t="str">
            <v>FERNÁNDEZ</v>
          </cell>
          <cell r="O264" t="str">
            <v>VÁZQUEZ</v>
          </cell>
          <cell r="Q264" t="str">
            <v>FEVO740619686</v>
          </cell>
          <cell r="V264">
            <v>43019</v>
          </cell>
          <cell r="AA264" t="str">
            <v>Construcción de barda perimetral en el Centro de Desarrollo Comunitario número 2 La Venta del Astillero, ubicado en la localidad de la Venta del Astillero; Construcción de barda perimetral poniente en el panteón municipal ubicado en Atemajac, municipio de Zapopan, Jalisco.</v>
          </cell>
          <cell r="AD264">
            <v>43024</v>
          </cell>
          <cell r="AE264">
            <v>43054</v>
          </cell>
        </row>
        <row r="265">
          <cell r="C265" t="str">
            <v>DOPI-MUN-R33R-ELE-AD-252-2017</v>
          </cell>
          <cell r="M265" t="str">
            <v>JOSÉ DE JESÚS</v>
          </cell>
          <cell r="N265" t="str">
            <v>PALAFOX</v>
          </cell>
          <cell r="O265" t="str">
            <v>VILLEGAS</v>
          </cell>
          <cell r="Q265" t="str">
            <v>MCO1510113H8</v>
          </cell>
          <cell r="V265">
            <v>43018</v>
          </cell>
          <cell r="AA265" t="str">
            <v>Electrificación en las calles Sauce, Ceiba, Pirul y Santa Lucía en la colonia Jardines del Álamo, municipio de Zapopan, Jalisco.</v>
          </cell>
          <cell r="AD265">
            <v>43024</v>
          </cell>
          <cell r="AE265">
            <v>43084</v>
          </cell>
        </row>
        <row r="266">
          <cell r="C266" t="str">
            <v>DOPI-MUN-R33R-ELE-AD-253-2017</v>
          </cell>
          <cell r="M266" t="str">
            <v>JOSÉ DE JESÚS</v>
          </cell>
          <cell r="N266" t="str">
            <v>MARQUEZ</v>
          </cell>
          <cell r="O266" t="str">
            <v>ÁVILA</v>
          </cell>
          <cell r="Q266" t="str">
            <v>FUT1110275V9</v>
          </cell>
          <cell r="V266">
            <v>43021</v>
          </cell>
          <cell r="AA266" t="str">
            <v>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v>
          </cell>
          <cell r="AD266">
            <v>43024</v>
          </cell>
          <cell r="AE266">
            <v>43084</v>
          </cell>
        </row>
        <row r="267">
          <cell r="C267" t="str">
            <v>DOPI-MUN-RM-PAV-AD-273-2017</v>
          </cell>
          <cell r="M267" t="str">
            <v>JUAN RAMÓN</v>
          </cell>
          <cell r="N267" t="str">
            <v>RAMÍREZ</v>
          </cell>
          <cell r="O267" t="str">
            <v>ALATORRE</v>
          </cell>
          <cell r="Q267" t="str">
            <v>QGE080213988</v>
          </cell>
          <cell r="V267">
            <v>42991</v>
          </cell>
          <cell r="AA267" t="str">
            <v>Construcción de pavimento de concreto hidráulico, incluye: agua potable, alcantarillado, guarniciones, banquetas, accesibilidad, servicios complementarios y forestación, en la prolongación Naranjos, colonia Rancho El Centinela, municipio de Zapopan, Jalisco.</v>
          </cell>
          <cell r="AD267">
            <v>42996</v>
          </cell>
          <cell r="AE267">
            <v>43066</v>
          </cell>
        </row>
        <row r="268">
          <cell r="C268" t="str">
            <v>DOPI-MUN-CUSMAX-SERV-AD-274-2017</v>
          </cell>
          <cell r="M268" t="str">
            <v>JUAN RAMÓN</v>
          </cell>
          <cell r="N268" t="str">
            <v>RAMÍREZ</v>
          </cell>
          <cell r="O268" t="str">
            <v>ALATORRE</v>
          </cell>
          <cell r="Q268" t="str">
            <v>QGE080213988</v>
          </cell>
          <cell r="V268">
            <v>43012</v>
          </cell>
          <cell r="AA268" t="str">
            <v>Informe preventivo de impacto ambiental para la integración peatonal y paisaje de espacio público en la zona de andares y estudio de la manifestación de impacto ambiental para la construcción del parque lineal en la Av. Patria, municipio de Zapopan, Jalisco.</v>
          </cell>
          <cell r="AD268">
            <v>43012</v>
          </cell>
          <cell r="AE268">
            <v>43100</v>
          </cell>
        </row>
        <row r="269">
          <cell r="C269" t="str">
            <v>DOPI-MUN-RM-SERV-AD-275-2017</v>
          </cell>
          <cell r="M269" t="str">
            <v>JUAN RAMÓN</v>
          </cell>
          <cell r="N269" t="str">
            <v>RAMÍREZ</v>
          </cell>
          <cell r="O269" t="str">
            <v>ALATORRE</v>
          </cell>
          <cell r="Q269" t="str">
            <v>QGE080213988</v>
          </cell>
          <cell r="V269">
            <v>43054</v>
          </cell>
          <cell r="AA269" t="str">
            <v>Estudio de la manifestación de impacto ambiental del CDC de la colonia Miramar y de la rehabilitación del banco de material geológico en el relleno sanitario picachos, municipio de Zapopan, Jalisco.</v>
          </cell>
          <cell r="AD269">
            <v>43054</v>
          </cell>
          <cell r="AE269">
            <v>43100</v>
          </cell>
        </row>
        <row r="270">
          <cell r="C270" t="str">
            <v>DOPI-MUN-RM-IH-AD-276-2017</v>
          </cell>
          <cell r="M270" t="str">
            <v>SERGIO</v>
          </cell>
          <cell r="N270" t="str">
            <v>HERNÁNDEZ</v>
          </cell>
          <cell r="O270" t="str">
            <v>RUÍZ</v>
          </cell>
          <cell r="Q270" t="str">
            <v>RCO820921T66</v>
          </cell>
          <cell r="V270">
            <v>43038</v>
          </cell>
          <cell r="AA270" t="str">
            <v>Construcción de sistema pluvial a base de bocas de tormenta y pozo de infiltración, en diferentes zonas del municipio de Zapopan, Jalisco, primera etapa.</v>
          </cell>
          <cell r="AD270">
            <v>43040</v>
          </cell>
          <cell r="AE270">
            <v>43084</v>
          </cell>
        </row>
        <row r="271">
          <cell r="C271" t="str">
            <v>DOPI-MUN-RM-IM-AD-277-2017</v>
          </cell>
          <cell r="M271" t="str">
            <v xml:space="preserve">RAFAEL </v>
          </cell>
          <cell r="N271" t="str">
            <v>ARREGUIN</v>
          </cell>
          <cell r="O271" t="str">
            <v>RENTERIA</v>
          </cell>
          <cell r="Q271" t="str">
            <v>ADI130522MB7</v>
          </cell>
          <cell r="V271">
            <v>43066</v>
          </cell>
          <cell r="AA271" t="str">
            <v>Trabajos de albañilería, herrería, instalaciones eléctricas, hidrosanitarias y de gas, en el Centro de Desarrollo Infantil No. 8 María Jaime Franco, ubicado en la localidad de Santa Ana Tepetitlán, municipio de Zapopan, Jalisco.</v>
          </cell>
          <cell r="AD271">
            <v>43066</v>
          </cell>
          <cell r="AE271">
            <v>43110</v>
          </cell>
        </row>
        <row r="272">
          <cell r="C272" t="str">
            <v>DOPI-MUN-RM-SERV-AD-278-2017</v>
          </cell>
          <cell r="M272" t="str">
            <v>ANDRÉS</v>
          </cell>
          <cell r="N272" t="str">
            <v>ESCOBEDO</v>
          </cell>
          <cell r="O272" t="str">
            <v>LÓPEZ</v>
          </cell>
          <cell r="Q272" t="str">
            <v>EOLA770418BX6</v>
          </cell>
          <cell r="V272">
            <v>43049</v>
          </cell>
          <cell r="AA272" t="str">
            <v>Elaboración de dictámenes estructurales y levantamientos arquitectónicos de diferentes Centros de Desarrollo Infantil del DIF, municipio de Zapopan, Jalisco.</v>
          </cell>
          <cell r="AD272">
            <v>43052</v>
          </cell>
          <cell r="AE272">
            <v>43100</v>
          </cell>
        </row>
        <row r="273">
          <cell r="C273" t="str">
            <v>DOPI-MUN-RM-SERV-AD-279-2017</v>
          </cell>
          <cell r="M273" t="str">
            <v>GABRIEL</v>
          </cell>
          <cell r="N273" t="str">
            <v xml:space="preserve">FRANCO </v>
          </cell>
          <cell r="O273" t="str">
            <v>ALATORRE</v>
          </cell>
          <cell r="Q273" t="str">
            <v>COM141015F48</v>
          </cell>
          <cell r="V273">
            <v>43055</v>
          </cell>
          <cell r="AA273" t="str">
            <v>Estudios básicos topográficos para diferentes proyectos 2017, frente 2, del municipio de Zapopan, Jalisco.</v>
          </cell>
          <cell r="AD273">
            <v>43056</v>
          </cell>
          <cell r="AE273">
            <v>43208</v>
          </cell>
        </row>
        <row r="274">
          <cell r="C274" t="str">
            <v>DOPI-MUN-CUSMAX-PROY-AD-280-2017</v>
          </cell>
          <cell r="M274" t="str">
            <v>JOSÉ ANTONIO</v>
          </cell>
          <cell r="N274" t="str">
            <v>CISNEROS</v>
          </cell>
          <cell r="O274" t="str">
            <v>CASTILLO</v>
          </cell>
          <cell r="Q274" t="str">
            <v>APE111122MI0</v>
          </cell>
          <cell r="V274">
            <v>43010</v>
          </cell>
          <cell r="AA274" t="str">
            <v>Elaboración de proyectos arquitectónicos para diferentes obras del programa Cusmax 2017, frente 2, municipio de Zapopan, Jalisco.</v>
          </cell>
          <cell r="AD274">
            <v>43010</v>
          </cell>
          <cell r="AE274">
            <v>43092</v>
          </cell>
        </row>
        <row r="275">
          <cell r="C275" t="str">
            <v>DOPI-MUN-CUSMAX-BAN-AD-281-2017</v>
          </cell>
          <cell r="M275" t="str">
            <v>ROBERTO</v>
          </cell>
          <cell r="N275" t="str">
            <v>FLORES</v>
          </cell>
          <cell r="O275" t="str">
            <v>ARREOLA</v>
          </cell>
          <cell r="Q275" t="str">
            <v>ESC930617KW9</v>
          </cell>
          <cell r="V275">
            <v>43054</v>
          </cell>
          <cell r="AA275" t="str">
            <v>Primera etapa de la peatonalización en la colonia Hacienda de las Lomas (incluye: machuelos, banquetas, accesibilidad universal, bolardos y nomenclatura), municipio de Zapopan, Jalisco.</v>
          </cell>
          <cell r="AD275">
            <v>43054</v>
          </cell>
          <cell r="AE275">
            <v>43131</v>
          </cell>
        </row>
        <row r="276">
          <cell r="C276" t="str">
            <v>DOPI-MUN-RM-IE-AD-322-2017</v>
          </cell>
          <cell r="M276" t="str">
            <v>J. GERARDO</v>
          </cell>
          <cell r="N276" t="str">
            <v>NICANOR</v>
          </cell>
          <cell r="O276" t="str">
            <v>MEJIA MARISCAL</v>
          </cell>
          <cell r="Q276" t="str">
            <v>ICO980722MQ4</v>
          </cell>
          <cell r="V276">
            <v>43045</v>
          </cell>
          <cell r="AA276" t="str">
            <v>Reforzamiento Complementario de estructuras con lonarias en la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ell>
          <cell r="AD276">
            <v>43045</v>
          </cell>
          <cell r="AE276">
            <v>43100</v>
          </cell>
        </row>
        <row r="277">
          <cell r="C277" t="str">
            <v>DOPI-MUN-RM-IH-AD-323-2017</v>
          </cell>
          <cell r="M277" t="str">
            <v>CLAUDIO FELIPE</v>
          </cell>
          <cell r="N277" t="str">
            <v>TRUJILLO</v>
          </cell>
          <cell r="O277" t="str">
            <v>GRACIAN</v>
          </cell>
          <cell r="Q277" t="str">
            <v>DLU100818F46</v>
          </cell>
          <cell r="V277">
            <v>43040</v>
          </cell>
          <cell r="AA277" t="str">
            <v>Construcción de Adecuaciones hidráulicas en la línea de agua potable y alcantarillado en la calle Rizo Ayala y paseo de Las Araucarias y obra civil complementaria, Municipio de Zapopan, Jalisco.</v>
          </cell>
          <cell r="AD277">
            <v>43040</v>
          </cell>
          <cell r="AE277">
            <v>43084</v>
          </cell>
        </row>
        <row r="278">
          <cell r="C278" t="str">
            <v>DOPI-MUN-RM-EP-AD-324-2017</v>
          </cell>
          <cell r="M278" t="str">
            <v>ARTURO</v>
          </cell>
          <cell r="N278" t="str">
            <v>RÁNGEL</v>
          </cell>
          <cell r="O278" t="str">
            <v>PAEZ</v>
          </cell>
          <cell r="Q278" t="str">
            <v>CLA890925ER5</v>
          </cell>
          <cell r="V278">
            <v>43040</v>
          </cell>
          <cell r="AA278" t="str">
            <v>Construcción de plazoleta, cruceros seguros, mobiliario y obra complementaria en el Andador Rizo Ayala, Municipio de Zapopan, Jalisco.</v>
          </cell>
          <cell r="AD278">
            <v>43040</v>
          </cell>
          <cell r="AE278">
            <v>43084</v>
          </cell>
        </row>
        <row r="279">
          <cell r="C279" t="str">
            <v>DOPI-MUN-RM-IU-AD-325-2017</v>
          </cell>
          <cell r="M279" t="str">
            <v>WILLIAMS PATRICKS</v>
          </cell>
          <cell r="N279" t="str">
            <v>GIL</v>
          </cell>
          <cell r="O279" t="str">
            <v>PÉREZ</v>
          </cell>
          <cell r="Q279" t="str">
            <v>GWA141209KG7</v>
          </cell>
          <cell r="V279">
            <v>43063</v>
          </cell>
          <cell r="AA279" t="str">
            <v>Segunda etapa de la renovación de imagen urbana en la colonia Díaz Ordaz, municipio de Zapopan, Jalisco</v>
          </cell>
          <cell r="AD279">
            <v>43063</v>
          </cell>
          <cell r="AE279">
            <v>43145</v>
          </cell>
        </row>
        <row r="280">
          <cell r="C280" t="str">
            <v>DOPI-MUN-RM-PAV-AD-326-2017</v>
          </cell>
          <cell r="M280" t="str">
            <v>ALEX</v>
          </cell>
          <cell r="N280" t="str">
            <v>MEDINA</v>
          </cell>
          <cell r="O280" t="str">
            <v>GÓMEZ</v>
          </cell>
          <cell r="Q280" t="str">
            <v>MCO150527NY3</v>
          </cell>
          <cell r="V280">
            <v>43031</v>
          </cell>
          <cell r="AA280" t="str">
            <v>Renivelación con mezcla asfáltica de vialidades, en las colonias Girasoles Elite y Las Casitas, municipio de Zapopan, Jalisco.</v>
          </cell>
          <cell r="AD280">
            <v>43031</v>
          </cell>
          <cell r="AE280">
            <v>43100</v>
          </cell>
        </row>
        <row r="281">
          <cell r="C281" t="str">
            <v>DOPI-MUN-RM-IM-AD-327-2017</v>
          </cell>
          <cell r="M281" t="str">
            <v>ALFREDO</v>
          </cell>
          <cell r="N281" t="str">
            <v>FLORES</v>
          </cell>
          <cell r="O281" t="str">
            <v>CHÁVEZ</v>
          </cell>
          <cell r="Q281" t="str">
            <v>FOCA830904HT8</v>
          </cell>
          <cell r="V281">
            <v>43046</v>
          </cell>
          <cell r="AA281" t="str">
            <v>Rehabilitación del Centro Comunitario en la colonia el Colli CTM, Municipio de Zapopan, Jalisco.</v>
          </cell>
          <cell r="AD281">
            <v>43046</v>
          </cell>
          <cell r="AE281">
            <v>43146</v>
          </cell>
        </row>
        <row r="282">
          <cell r="C282" t="str">
            <v>DOPI-MUN-RM-BAN-AD-328-2017</v>
          </cell>
          <cell r="M282" t="str">
            <v>ESTEBAN</v>
          </cell>
          <cell r="N282" t="str">
            <v>PÉREZ</v>
          </cell>
          <cell r="O282" t="str">
            <v>MUÑOZ</v>
          </cell>
          <cell r="Q282" t="str">
            <v>GPC110927671</v>
          </cell>
          <cell r="V282">
            <v>43024</v>
          </cell>
          <cell r="AA282" t="str">
            <v>Peatonalización, construcción de banquetas sustitución de guarniciones, bolardos, accesibilidad, primera etapa en la Colonia Tabachines, Municipio de Zapopan, Jalisco.</v>
          </cell>
          <cell r="AD282">
            <v>43024</v>
          </cell>
          <cell r="AE282">
            <v>43084</v>
          </cell>
        </row>
        <row r="283">
          <cell r="C283" t="str">
            <v>DOPI-MUN-RM-IM-AD-329-2017</v>
          </cell>
          <cell r="M283" t="str">
            <v>ERICK</v>
          </cell>
          <cell r="N283" t="str">
            <v>VILLASEÑOR</v>
          </cell>
          <cell r="O283" t="str">
            <v>GUTIÉRREZ</v>
          </cell>
          <cell r="Q283" t="str">
            <v>PCO140829425</v>
          </cell>
          <cell r="V283">
            <v>43042</v>
          </cell>
          <cell r="AA283" t="str">
            <v>Rehabilitación y equipamiento del sistema de trampas de grasa, albañilería y acabados, en el área de carnicerías del mercado municipal Atemajac, municipio de Zapopan, Jalisco.</v>
          </cell>
          <cell r="AD283">
            <v>43042</v>
          </cell>
          <cell r="AE283">
            <v>43084</v>
          </cell>
        </row>
        <row r="284">
          <cell r="C284" t="str">
            <v>DOPI-MUN-RM-PROY-AD-330-2017</v>
          </cell>
          <cell r="M284" t="str">
            <v>JAVIER</v>
          </cell>
          <cell r="N284" t="str">
            <v xml:space="preserve">ÁVILA </v>
          </cell>
          <cell r="O284" t="str">
            <v>FLORES</v>
          </cell>
          <cell r="Q284" t="str">
            <v>SCC060622HZ3</v>
          </cell>
          <cell r="V284">
            <v>43031</v>
          </cell>
          <cell r="AA284" t="str">
            <v>Diagnóstico, diseño y proyectos hidráulicos 2017, frente 1, de diferentes redes de agua potable y alcantarillado, municipio de Zapopan Jalisco.</v>
          </cell>
          <cell r="AD284">
            <v>43031</v>
          </cell>
          <cell r="AE284">
            <v>43131</v>
          </cell>
        </row>
        <row r="285">
          <cell r="C285" t="str">
            <v>DOPI-MUN-CUSMAX-PROY-AD-332-2017</v>
          </cell>
          <cell r="M285" t="str">
            <v>CARLOS ALBERTO</v>
          </cell>
          <cell r="N285" t="str">
            <v>VILLASEÑOR</v>
          </cell>
          <cell r="O285" t="str">
            <v>NÚÑEZ</v>
          </cell>
          <cell r="Q285" t="str">
            <v>MME011214IV5</v>
          </cell>
          <cell r="V285">
            <v>43060</v>
          </cell>
          <cell r="AA285" t="str">
            <v>Elaboración de proyecto ejecutivo para la construcción de Estación de Bomberos en Circuito Andares, municipio de Zapopan, Jalisco.</v>
          </cell>
          <cell r="AD285">
            <v>43060</v>
          </cell>
          <cell r="AE285">
            <v>43146</v>
          </cell>
        </row>
        <row r="286">
          <cell r="C286" t="str">
            <v>DOPI-MUN-CUSMAX-IM-AD-334-2017</v>
          </cell>
          <cell r="M286" t="str">
            <v>JUAN ALFONSO</v>
          </cell>
          <cell r="N286" t="str">
            <v>BELLON</v>
          </cell>
          <cell r="O286" t="str">
            <v>CÁRDENAS</v>
          </cell>
          <cell r="Q286" t="str">
            <v>PYC130626TA7</v>
          </cell>
          <cell r="V286">
            <v>43049</v>
          </cell>
          <cell r="AA286" t="str">
            <v>Rehabilitación de la Barda en la Unidad Deportiva Lagos del Country, ubicada sobre la calle Laguna de Términos, colonia Lagos del Country, municipio de Zapopan, Jalisco.</v>
          </cell>
          <cell r="AD286">
            <v>43049</v>
          </cell>
          <cell r="AE286">
            <v>43130</v>
          </cell>
        </row>
        <row r="287">
          <cell r="C287" t="str">
            <v>DOPI-MUN-CUSMAX-IH-AD-335-2017</v>
          </cell>
          <cell r="M287" t="str">
            <v>HÉCTOR ANDRÉS</v>
          </cell>
          <cell r="N287" t="str">
            <v>VALADES</v>
          </cell>
          <cell r="O287" t="str">
            <v>SÁNCHEZ</v>
          </cell>
          <cell r="Q287" t="str">
            <v>CON130531FB8</v>
          </cell>
          <cell r="V287">
            <v>43063</v>
          </cell>
          <cell r="AA287" t="str">
            <v>Construcción de bocas de tormenta, modificación de rasantes en crucero y construcción de pozos de absorción en la privada Manuel M. Diéguez en su cruce con la calle Dr. Alberto Román, municipio de Zapopan, Jalisco.</v>
          </cell>
          <cell r="AD287">
            <v>43063</v>
          </cell>
          <cell r="AE287">
            <v>43131</v>
          </cell>
        </row>
        <row r="288">
          <cell r="C288" t="str">
            <v>DOPI-MUN-RM-PAV-AD-336-2017</v>
          </cell>
          <cell r="M288" t="str">
            <v>JOSÉ OMAR</v>
          </cell>
          <cell r="N288" t="str">
            <v>FERNÁNDEZ</v>
          </cell>
          <cell r="O288" t="str">
            <v>VÁZQUEZ</v>
          </cell>
          <cell r="Q288" t="str">
            <v>FEVO740619686</v>
          </cell>
          <cell r="V288">
            <v>43042</v>
          </cell>
          <cell r="AA288" t="str">
            <v>Pavimentación con adoquín y empedrado tradicional con material producto de recuperación en diferentes vialidades en el municipio de Zapopan, Jalisco, frente 3.</v>
          </cell>
          <cell r="AD288">
            <v>43042</v>
          </cell>
          <cell r="AE288">
            <v>43131</v>
          </cell>
        </row>
        <row r="289">
          <cell r="C289" t="str">
            <v>DOPI-MUN-CUSMAX-PROY-AD-337-2017</v>
          </cell>
          <cell r="M289" t="str">
            <v>SERGIO ALEJANDRO</v>
          </cell>
          <cell r="N289" t="str">
            <v>LARIOS</v>
          </cell>
          <cell r="O289" t="str">
            <v>VIRGEN</v>
          </cell>
          <cell r="Q289" t="str">
            <v>EPS040708MA2</v>
          </cell>
          <cell r="V289">
            <v>43018</v>
          </cell>
          <cell r="AA289" t="str">
            <v>Elaboración de proyecto geométrico ejecutivo de cruceros seguros en el corredor de la Av. Patria -  Av. Acueducto, municipio de Zapopan, Jalisco</v>
          </cell>
          <cell r="AD289">
            <v>43018</v>
          </cell>
          <cell r="AE289">
            <v>43100</v>
          </cell>
        </row>
        <row r="290">
          <cell r="C290" t="str">
            <v>DOPI-MUN-CUSMAX-PROY-AD-338-2017</v>
          </cell>
          <cell r="M290" t="str">
            <v xml:space="preserve">CARLOS ISRAEL </v>
          </cell>
          <cell r="N290" t="str">
            <v>JAUREGUI</v>
          </cell>
          <cell r="O290" t="str">
            <v xml:space="preserve"> GOMEZ</v>
          </cell>
          <cell r="Q290" t="str">
            <v>CAR041213BM6</v>
          </cell>
          <cell r="V290">
            <v>43066</v>
          </cell>
          <cell r="AA290" t="str">
            <v>Elaboración de proyecto ejecutivo para iluminación del parque lineal Patria, en el tramo de Av. Acueducto a Av. Américas, municipio de Zapopan, Jalisco.</v>
          </cell>
          <cell r="AD290">
            <v>43066</v>
          </cell>
          <cell r="AE290">
            <v>43131</v>
          </cell>
        </row>
        <row r="291">
          <cell r="C291" t="str">
            <v>DOPI-MUN-CUSMAX-PROY-AD-339-2017</v>
          </cell>
          <cell r="M291" t="str">
            <v>FRANCISCA ELVIA</v>
          </cell>
          <cell r="N291" t="str">
            <v>RUBIO</v>
          </cell>
          <cell r="O291" t="str">
            <v>MONTES</v>
          </cell>
          <cell r="Q291" t="str">
            <v>IHS9809171R9</v>
          </cell>
          <cell r="V291">
            <v>43084</v>
          </cell>
          <cell r="AA291" t="str">
            <v>Elaboración de proyecto ejecutivo hidráulico del parque lineal Patria, municipio de Zapopan, Jalisco.</v>
          </cell>
          <cell r="AD291">
            <v>43084</v>
          </cell>
          <cell r="AE291">
            <v>43131</v>
          </cell>
        </row>
        <row r="292">
          <cell r="C292" t="str">
            <v>DOPI-MUN-RM-IE-AD-340-2017</v>
          </cell>
          <cell r="M292" t="str">
            <v>WILLIAMS PATRICKS</v>
          </cell>
          <cell r="N292" t="str">
            <v>GIL</v>
          </cell>
          <cell r="O292" t="str">
            <v>PÉREZ</v>
          </cell>
          <cell r="Q292" t="str">
            <v>GWA141209KG7</v>
          </cell>
          <cell r="V292">
            <v>43084</v>
          </cell>
          <cell r="AA292" t="str">
            <v>Estructuras con lonaria, carpintería, acabados, y cancelería, en el CDI del DIF No. 8 María Jaime Franco, ubicado en Santa Ana Tepetitlán, municipio de Zapopan, Jalisco.</v>
          </cell>
          <cell r="AD292">
            <v>43084</v>
          </cell>
          <cell r="AE292">
            <v>43131</v>
          </cell>
        </row>
        <row r="293">
          <cell r="C293" t="str">
            <v>DOPI-MUN-R33-DS-AD-341-2017</v>
          </cell>
          <cell r="M293" t="str">
            <v>MAXIMILIANO</v>
          </cell>
          <cell r="N293" t="str">
            <v>TORRES</v>
          </cell>
          <cell r="O293" t="str">
            <v>LÓPEZ</v>
          </cell>
          <cell r="Q293" t="str">
            <v>GCS080902S44</v>
          </cell>
          <cell r="V293">
            <v>43045</v>
          </cell>
          <cell r="AA293" t="str">
            <v>Construcción de colector de alejamiento en la localidad de Pedregal de Milpillas, municipio de Zapopan, Jalisco, Frente 1.</v>
          </cell>
          <cell r="AD293">
            <v>43045</v>
          </cell>
          <cell r="AE293">
            <v>43100</v>
          </cell>
        </row>
        <row r="294">
          <cell r="C294" t="str">
            <v>DOPI-MUN-R33-DS-AD-342-2017</v>
          </cell>
          <cell r="M294" t="str">
            <v>ERNESTO</v>
          </cell>
          <cell r="N294" t="str">
            <v>OLIVARES</v>
          </cell>
          <cell r="O294" t="str">
            <v>ÁLVAREZ</v>
          </cell>
          <cell r="Q294" t="str">
            <v>MIN170819GG1</v>
          </cell>
          <cell r="V294">
            <v>43045</v>
          </cell>
          <cell r="AA294" t="str">
            <v>Construcción de colector de alejamiento en la localidad de Pedregal de Milpillas, municipio de Zapopan, Jalisco, Frente 2.</v>
          </cell>
          <cell r="AD294">
            <v>43045</v>
          </cell>
          <cell r="AE294">
            <v>43100</v>
          </cell>
        </row>
        <row r="295">
          <cell r="C295" t="str">
            <v>DOPI-MUN-R33-IH-AD-343-2017</v>
          </cell>
          <cell r="M295" t="str">
            <v>GUSTAVO ALEJANDRO</v>
          </cell>
          <cell r="N295" t="str">
            <v>LEDEZMA</v>
          </cell>
          <cell r="O295" t="str">
            <v xml:space="preserve"> CERVANTES</v>
          </cell>
          <cell r="Q295" t="str">
            <v>EPR131016I71</v>
          </cell>
          <cell r="V295">
            <v>43045</v>
          </cell>
          <cell r="AA295" t="str">
            <v>Construcción de planta de tratamiento tipo rural, en la localidad de Pedregal de Milpillas, municipio de Zapopan, Jalisco.</v>
          </cell>
          <cell r="AD295">
            <v>43045</v>
          </cell>
          <cell r="AE295">
            <v>43100</v>
          </cell>
        </row>
        <row r="296">
          <cell r="C296" t="str">
            <v>DOPI-MUN-R33-PAV-AD-344-2017</v>
          </cell>
          <cell r="M296" t="str">
            <v>MARTÍN ALEJANDRO</v>
          </cell>
          <cell r="N296" t="str">
            <v>DIEZ MARINA</v>
          </cell>
          <cell r="O296" t="str">
            <v>INZUNZA</v>
          </cell>
          <cell r="Q296" t="str">
            <v>UNI1201115M6</v>
          </cell>
          <cell r="V296">
            <v>43045</v>
          </cell>
          <cell r="AA296" t="str">
            <v>Pavimentación con concreto hidráulico de vialidades en la colonia El Zapote II, incluye: guarniciones, banquetas, accesibilidad y servicios complementarios, municipio de Zapopan, Jalisco, Frente 1.</v>
          </cell>
          <cell r="AD296">
            <v>43045</v>
          </cell>
          <cell r="AE296">
            <v>43100</v>
          </cell>
        </row>
        <row r="297">
          <cell r="C297" t="str">
            <v>DOPI-MUN-R33-PAV-AD-345-2017</v>
          </cell>
          <cell r="M297" t="str">
            <v>EMILIO MIGUEL</v>
          </cell>
          <cell r="N297" t="str">
            <v>ZULOAGA</v>
          </cell>
          <cell r="O297" t="str">
            <v>SAENZ</v>
          </cell>
          <cell r="Q297" t="str">
            <v>CSN150923FGA</v>
          </cell>
          <cell r="V297">
            <v>43045</v>
          </cell>
          <cell r="AA297" t="str">
            <v>Pavimentación con concreto hidráulico de vialidades en la colonia El Zapote II, incluye: guarniciones, banquetas, accesibilidad y servicios complementarios, municipio de Zapopan, Jalisco, Frente 2.</v>
          </cell>
          <cell r="AD297">
            <v>43045</v>
          </cell>
          <cell r="AE297">
            <v>43100</v>
          </cell>
        </row>
        <row r="298">
          <cell r="C298" t="str">
            <v>DOPI-MUN-RM-PAV-AD-346-2017</v>
          </cell>
          <cell r="M298" t="str">
            <v>SERGIO CESAR</v>
          </cell>
          <cell r="N298" t="str">
            <v>DÍAZ</v>
          </cell>
          <cell r="O298" t="str">
            <v>QUIROZ</v>
          </cell>
          <cell r="Q298" t="str">
            <v>TRA750528286</v>
          </cell>
          <cell r="V298">
            <v>43045</v>
          </cell>
          <cell r="AA298" t="str">
            <v>Pavimentación con concreto hidráulico, puente vehicular y obra complementaria en la calle Emiliano Zapata y calle Pípila, en la colonia La Martinica, municipio de Zapopan, Jalisco.</v>
          </cell>
          <cell r="AD298">
            <v>43045</v>
          </cell>
          <cell r="AE298">
            <v>43100</v>
          </cell>
        </row>
        <row r="299">
          <cell r="C299" t="str">
            <v>DOPI-MUN-RM-IM-AD-347-2017</v>
          </cell>
          <cell r="M299" t="str">
            <v>ELSA GABRIELA</v>
          </cell>
          <cell r="N299" t="str">
            <v>ROMERO</v>
          </cell>
          <cell r="O299" t="str">
            <v>ORTEGA</v>
          </cell>
          <cell r="Q299" t="str">
            <v>EVI940414M46</v>
          </cell>
          <cell r="V299">
            <v>43045</v>
          </cell>
          <cell r="AA299" t="str">
            <v>Trabajos complementarios de cancelería de aluminio, equipamiento, instalación de mamparas y jardinería en el centro de desarrollo infantil La Loma, municipio de Zapopan, Jalisco.</v>
          </cell>
          <cell r="AD299">
            <v>43045</v>
          </cell>
          <cell r="AE299">
            <v>43100</v>
          </cell>
        </row>
        <row r="300">
          <cell r="C300" t="str">
            <v>DOPI-MUN-RM-ELE-AD-348-2017</v>
          </cell>
          <cell r="M300" t="str">
            <v xml:space="preserve">HÉCTOR MANUEL </v>
          </cell>
          <cell r="N300" t="str">
            <v xml:space="preserve"> CRUZ </v>
          </cell>
          <cell r="O300" t="str">
            <v xml:space="preserve"> ALCALA</v>
          </cell>
          <cell r="Q300" t="str">
            <v>AGC960215977</v>
          </cell>
          <cell r="V300">
            <v>43045</v>
          </cell>
          <cell r="AA300" t="str">
            <v>Obra eléctrica complementaria en el Centro de Desarrollo Infantil La Loma, municipio de Zapopan, Jalisco.</v>
          </cell>
          <cell r="AD300">
            <v>43045</v>
          </cell>
          <cell r="AE300">
            <v>43100</v>
          </cell>
        </row>
        <row r="301">
          <cell r="C301" t="str">
            <v>DOPI-MUN-RM-IE-AD-350-2017</v>
          </cell>
          <cell r="M301" t="str">
            <v>GUSTAVO</v>
          </cell>
          <cell r="N301" t="str">
            <v>DURAN</v>
          </cell>
          <cell r="O301" t="str">
            <v>JIMÉNEZ</v>
          </cell>
          <cell r="Q301" t="str">
            <v>DJA9405184G7</v>
          </cell>
          <cell r="V301">
            <v>43060</v>
          </cell>
          <cell r="AA301" t="str">
            <v>Reforzamiento Complementario de estructuras con lonarias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ell>
          <cell r="AD301">
            <v>43060</v>
          </cell>
          <cell r="AE301">
            <v>43153</v>
          </cell>
        </row>
        <row r="302">
          <cell r="C302" t="str">
            <v>DOPI-MUN-RM-IE-AD-351-2017</v>
          </cell>
          <cell r="M302" t="str">
            <v xml:space="preserve">EDUARDO </v>
          </cell>
          <cell r="N302" t="str">
            <v>CRUZ</v>
          </cell>
          <cell r="O302" t="str">
            <v>MOGUEL</v>
          </cell>
          <cell r="Q302" t="str">
            <v>BAL990803661</v>
          </cell>
          <cell r="V302">
            <v>43060</v>
          </cell>
          <cell r="AA302" t="str">
            <v>Reforzamiento Complementario de estructuras con lonarias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ell>
          <cell r="AD302">
            <v>43060</v>
          </cell>
          <cell r="AE302">
            <v>43153</v>
          </cell>
        </row>
        <row r="303">
          <cell r="C303" t="str">
            <v>DOPI-MUN-RM-BAN-AD-352-2017</v>
          </cell>
          <cell r="M303" t="str">
            <v xml:space="preserve">EDUARDO </v>
          </cell>
          <cell r="N303" t="str">
            <v>PLASCENCIA</v>
          </cell>
          <cell r="O303" t="str">
            <v>MACIAS</v>
          </cell>
          <cell r="Q303" t="str">
            <v>CEP080129EK6</v>
          </cell>
          <cell r="V303">
            <v>43040</v>
          </cell>
          <cell r="AA303" t="str">
            <v>Peatonalización (banquetas y obras de accesibilidad) del área de influencia del Centro de Desarrollo Infantil No. 5, ubicado en El Colli, municipio de Zapopan, Jalisco.</v>
          </cell>
          <cell r="AD303">
            <v>43040</v>
          </cell>
          <cell r="AE303">
            <v>43100</v>
          </cell>
        </row>
        <row r="304">
          <cell r="C304" t="str">
            <v>DOPI-MUN-RM-PAV-AD-353-2017</v>
          </cell>
          <cell r="M304" t="str">
            <v>CARLOS CELSO</v>
          </cell>
          <cell r="N304" t="str">
            <v>GARCÍA</v>
          </cell>
          <cell r="O304" t="str">
            <v>QUINTERO</v>
          </cell>
          <cell r="Q304" t="str">
            <v>GCH070702SH8</v>
          </cell>
          <cell r="V304">
            <v>43080</v>
          </cell>
          <cell r="AA304" t="str">
            <v>Pavimentación con concreto hidráulico en la calle La Palma de Rinconada de los Abetos a la Eucalipto, colonia El Fresno, incluye: banquetas, peatonalización, señalamiento y obras complementarias, en el municipio de Zapopan, Jalisco.</v>
          </cell>
          <cell r="AD304">
            <v>43080</v>
          </cell>
          <cell r="AE304">
            <v>43159</v>
          </cell>
        </row>
        <row r="305">
          <cell r="C305" t="str">
            <v>DOPI-MUN-RM-PAV-AD-354-2017</v>
          </cell>
          <cell r="M305" t="str">
            <v>DAVID SERGIO</v>
          </cell>
          <cell r="N305" t="str">
            <v>DOMINGUEZ</v>
          </cell>
          <cell r="O305" t="str">
            <v>MEZA</v>
          </cell>
          <cell r="Q305" t="str">
            <v>VCO9412201J0</v>
          </cell>
          <cell r="V305">
            <v>43080</v>
          </cell>
          <cell r="AA305" t="str">
            <v>Pavimentación con concreto hidráulico,  incluye: banquetas, peatonalización, señalamiento y obras complementarias en la calle Eucalipto de Primavera a Pirul, colonia El Fresno, en el municipio de Zapopan, Jalisco.</v>
          </cell>
          <cell r="AD305">
            <v>43080</v>
          </cell>
          <cell r="AE305">
            <v>43159</v>
          </cell>
        </row>
        <row r="306">
          <cell r="C306" t="str">
            <v>DOPI-MUN-RM-IM-AD-355-2017</v>
          </cell>
          <cell r="M306" t="str">
            <v>MAXIMILIANO</v>
          </cell>
          <cell r="N306" t="str">
            <v>TORRES</v>
          </cell>
          <cell r="O306" t="str">
            <v>LÓPEZ</v>
          </cell>
          <cell r="Q306" t="str">
            <v>GCS080902S44</v>
          </cell>
          <cell r="V306">
            <v>43052</v>
          </cell>
          <cell r="AA306" t="str">
            <v>Tratamiento y aplicación de recubrimientos en pisos de pasillos de circulación del mercado municipal Atemajac, municipio de Zapopan, Jalisco.</v>
          </cell>
          <cell r="AD306">
            <v>43052</v>
          </cell>
          <cell r="AE306">
            <v>43115</v>
          </cell>
        </row>
        <row r="307">
          <cell r="C307" t="str">
            <v>DOPI-MUN-RM-IM-AD-356-2017</v>
          </cell>
          <cell r="M307" t="str">
            <v>GUSTAVO ALEJANDRO</v>
          </cell>
          <cell r="N307" t="str">
            <v>LEDEZMA</v>
          </cell>
          <cell r="O307" t="str">
            <v xml:space="preserve"> CERVANTES</v>
          </cell>
          <cell r="Q307" t="str">
            <v>EPR131016I71</v>
          </cell>
          <cell r="V307">
            <v>43052</v>
          </cell>
          <cell r="AA307" t="str">
            <v>Rehabilitación de módulo de baños en planta baja, pintura, albañilerías, acabados, banquetas y peatonalización, en el mercado municipal Atemajac, municipio de Zapopan, Jalisco.</v>
          </cell>
          <cell r="AD307">
            <v>43052</v>
          </cell>
          <cell r="AE307">
            <v>43115</v>
          </cell>
        </row>
        <row r="308">
          <cell r="C308" t="str">
            <v>DOPI-MUN-RM-DS-AD-357-2017</v>
          </cell>
          <cell r="M308" t="str">
            <v>RAFAEL AUGUSTO</v>
          </cell>
          <cell r="N308" t="str">
            <v>CABALLERO</v>
          </cell>
          <cell r="O308" t="str">
            <v>QUIRARTE</v>
          </cell>
          <cell r="Q308" t="str">
            <v>PAT110331HH0</v>
          </cell>
          <cell r="V308">
            <v>43080</v>
          </cell>
          <cell r="AA308" t="str">
            <v>Construcción de red de drenaje sanitario en la calle Vista al Mirador de Puesta del Sol a Vista la Campiña, en la colonia Vista Hermosa, municipio de Zapopan, Jalisco.</v>
          </cell>
          <cell r="AD308">
            <v>43080</v>
          </cell>
          <cell r="AE308">
            <v>43174</v>
          </cell>
        </row>
        <row r="309">
          <cell r="C309" t="str">
            <v>DOPI-MUN-RM-IM-AD-358-2017</v>
          </cell>
          <cell r="M309" t="str">
            <v>MARCELO FERNANDO</v>
          </cell>
          <cell r="N309" t="str">
            <v>DE ANDA</v>
          </cell>
          <cell r="O309" t="str">
            <v>AGNESI</v>
          </cell>
          <cell r="Q309" t="str">
            <v>SLC090211283</v>
          </cell>
          <cell r="V309">
            <v>43073</v>
          </cell>
          <cell r="AA309" t="str">
            <v>Trabajos complementarios de carpintería y cancelería de aluminio en el Centro de Salud El Colli, ubicado en El Colli, municipio de Zapopan, Jalisco.</v>
          </cell>
          <cell r="AD309">
            <v>43073</v>
          </cell>
          <cell r="AE309">
            <v>43115</v>
          </cell>
        </row>
        <row r="310">
          <cell r="C310" t="str">
            <v>DOPI-MUN-RM-PAV-AD-359-2017</v>
          </cell>
          <cell r="M310" t="str">
            <v>JAVIER</v>
          </cell>
          <cell r="N310" t="str">
            <v>CAÑEDO</v>
          </cell>
          <cell r="O310" t="str">
            <v>ORTEGA</v>
          </cell>
          <cell r="Q310" t="str">
            <v>CTO061116F61</v>
          </cell>
          <cell r="V310">
            <v>43080</v>
          </cell>
          <cell r="AA310" t="str">
            <v>Obra complementaria para la pavimentación con concreto hidráulico en la calle Ing. Alberto Mora López de Elote a Ing. Alfonso Padilla, en la colonia La Mesa Colorada, en el municipio de Zapopan, Jalisco.</v>
          </cell>
          <cell r="AD310">
            <v>43080</v>
          </cell>
          <cell r="AE310">
            <v>43146</v>
          </cell>
        </row>
        <row r="311">
          <cell r="C311" t="str">
            <v>DOPI-MUN-RM-BAN-AD-360-2017</v>
          </cell>
          <cell r="M311" t="str">
            <v>GABRIELA CECILIA</v>
          </cell>
          <cell r="N311" t="str">
            <v xml:space="preserve">RUÍZ  </v>
          </cell>
          <cell r="O311" t="str">
            <v>HERNÁNDEZ</v>
          </cell>
          <cell r="Q311" t="str">
            <v>CTG070803966</v>
          </cell>
          <cell r="V311">
            <v>43031</v>
          </cell>
          <cell r="AA311" t="str">
            <v>Obra complementaria de peatonalización en el frente 1 de la rehabilitación de la Av. Dr. Ángel Leaño, Tramo Zona de Nixticuitl, municipio de Zapopan, Jalisco.</v>
          </cell>
          <cell r="AD311">
            <v>43031</v>
          </cell>
          <cell r="AE311">
            <v>43084</v>
          </cell>
        </row>
        <row r="312">
          <cell r="C312" t="str">
            <v>DOPI-MUN-RM-PAV-AD-361-2017</v>
          </cell>
          <cell r="M312" t="str">
            <v>SERGIO ALBERTO</v>
          </cell>
          <cell r="N312" t="str">
            <v>BAYLON</v>
          </cell>
          <cell r="O312" t="str">
            <v>MORENO</v>
          </cell>
          <cell r="Q312" t="str">
            <v>EEC9909173A7</v>
          </cell>
          <cell r="V312">
            <v>43033</v>
          </cell>
          <cell r="AA312" t="str">
            <v>Pavimentación con concreto hidráulico, incluye: drenaje sanitario, banquetas, peatonalización, señalamiento y obras complementarias en la calle Navarro Rosas de la Abel Salgado al Arroyo, colonia Agua Fría, en el municipio de Zapopan, Jalisco.</v>
          </cell>
          <cell r="AD312">
            <v>43033</v>
          </cell>
          <cell r="AE312">
            <v>43089</v>
          </cell>
        </row>
        <row r="313">
          <cell r="C313" t="str">
            <v>DOPI-MUN-RM-PAV-AD-362-2017</v>
          </cell>
          <cell r="M313" t="str">
            <v>CLARISSA GABRIELA</v>
          </cell>
          <cell r="N313" t="str">
            <v>VALDEZ</v>
          </cell>
          <cell r="O313" t="str">
            <v>MANJARREZ</v>
          </cell>
          <cell r="Q313" t="str">
            <v>TGE101215JI6</v>
          </cell>
          <cell r="V313">
            <v>43080</v>
          </cell>
          <cell r="AA313" t="str">
            <v>Pavimentación con concreto hidráulico, incluye: drenaje sanitario, banquetas, peatonalización, señalamiento y obras complementarias en la calle Canal, colonia Agua Fría, en el municipio de Zapopan, Jalisco, primera etapa.</v>
          </cell>
          <cell r="AD313">
            <v>43080</v>
          </cell>
          <cell r="AE313">
            <v>43146</v>
          </cell>
        </row>
        <row r="314">
          <cell r="C314" t="str">
            <v>DOPI-MUN-RM-SERV-AD-363-2017</v>
          </cell>
          <cell r="M314" t="str">
            <v>RICARDO</v>
          </cell>
          <cell r="N314" t="str">
            <v>MEZA</v>
          </cell>
          <cell r="O314" t="str">
            <v>PONCE</v>
          </cell>
          <cell r="Q314" t="str">
            <v>CCM1405243C4</v>
          </cell>
          <cell r="V314">
            <v>43021</v>
          </cell>
          <cell r="AA314" t="str">
            <v>Control de calidad de diferentes obras 2017 del municipio de Zapopan, Jalisco, etapa 4.</v>
          </cell>
          <cell r="AD314">
            <v>43024</v>
          </cell>
          <cell r="AE314">
            <v>43100</v>
          </cell>
        </row>
        <row r="315">
          <cell r="C315" t="str">
            <v>DOPI-MUN-RM-PAV-AD-364-2017</v>
          </cell>
          <cell r="M315" t="str">
            <v>J. JESÚS</v>
          </cell>
          <cell r="N315" t="str">
            <v>NUÑEZ</v>
          </cell>
          <cell r="O315" t="str">
            <v>GUTIÉRREZ</v>
          </cell>
          <cell r="Q315" t="str">
            <v>CVC110114429</v>
          </cell>
          <cell r="V315">
            <v>43084</v>
          </cell>
          <cell r="AA315" t="str">
            <v>Pavimentación con concreto hidráulico, incluye: banquetas, peatonalización, señalamiento y obras complementarias en la calle Santa Mercedez de la Av. Jesús a San Felipe, colonia Tuzania Ejidal, , en el municipio de Zapopan, Jalisco, frente 1.</v>
          </cell>
          <cell r="AD315">
            <v>43084</v>
          </cell>
          <cell r="AE315">
            <v>43203</v>
          </cell>
        </row>
        <row r="316">
          <cell r="C316" t="str">
            <v>DOPI-MUN-RM-DS-AD-366-2017</v>
          </cell>
          <cell r="M316" t="str">
            <v xml:space="preserve">RODOLFO </v>
          </cell>
          <cell r="N316" t="str">
            <v xml:space="preserve">VELAZQUEZ </v>
          </cell>
          <cell r="O316" t="str">
            <v>ORDOÑEZ</v>
          </cell>
          <cell r="Q316" t="str">
            <v>VIE110125RL4</v>
          </cell>
          <cell r="V316">
            <v>43084</v>
          </cell>
          <cell r="AA316" t="str">
            <v>Colector de aguas residuales, descargas sanitarias y línea de agua potable en la colonia Tuzania Ejidal, municipio de Zapopan, Jalisco, primera etapa Frente 1.</v>
          </cell>
          <cell r="AD316">
            <v>43084</v>
          </cell>
          <cell r="AE316">
            <v>43203</v>
          </cell>
        </row>
        <row r="317">
          <cell r="C317" t="str">
            <v>DOPI-MUN-RM-MOV-AD-369-2017</v>
          </cell>
          <cell r="M317" t="str">
            <v>JORGE ALBERTO</v>
          </cell>
          <cell r="N317" t="str">
            <v>MENA</v>
          </cell>
          <cell r="O317" t="str">
            <v>ADAMES</v>
          </cell>
          <cell r="Q317" t="str">
            <v>DIV010905510</v>
          </cell>
          <cell r="V317">
            <v>43084</v>
          </cell>
          <cell r="AA317" t="str">
            <v>Señalización vertical y horizontal en diferentes zonas del municipio de Zapopan, Jalisco, frente 1.</v>
          </cell>
          <cell r="AD317">
            <v>43084</v>
          </cell>
          <cell r="AE317">
            <v>43203</v>
          </cell>
        </row>
        <row r="318">
          <cell r="C318" t="str">
            <v>DOPI-MUN-RM-IM-AD-370-2017</v>
          </cell>
          <cell r="M318" t="str">
            <v>JOSÉ MANUEL</v>
          </cell>
          <cell r="N318" t="str">
            <v>GÓMEZ</v>
          </cell>
          <cell r="O318" t="str">
            <v>CASTELLANOS</v>
          </cell>
          <cell r="Q318" t="str">
            <v>GDI020122D2A</v>
          </cell>
          <cell r="V318">
            <v>43042</v>
          </cell>
          <cell r="AA318" t="str">
            <v>Cimentación y estructura para la rampa de accesibilidad al CRI Centro de Autismo, ubicado en Av. Juan Pablo II, colonia Fovisste, municipio de Zapopan, Jalisco.</v>
          </cell>
          <cell r="AD318">
            <v>43045</v>
          </cell>
          <cell r="AE318">
            <v>43159</v>
          </cell>
        </row>
        <row r="319">
          <cell r="C319" t="str">
            <v>DOPI-MUN-RM-IM-AD-371-2017</v>
          </cell>
          <cell r="M319" t="str">
            <v>ARTURO RAFAEL</v>
          </cell>
          <cell r="N319" t="str">
            <v>SALAZAR</v>
          </cell>
          <cell r="O319" t="str">
            <v>MARTÍN DEL CAMPO</v>
          </cell>
          <cell r="Q319" t="str">
            <v>KCO030922UM6</v>
          </cell>
          <cell r="V319">
            <v>43070</v>
          </cell>
          <cell r="AA319" t="str">
            <v>Delimitación con malla ciclónica en terrenos afectados por la ampliación de la carretera La Venta - Santa Lucia, municipio de Zapopan, Jalisco.</v>
          </cell>
          <cell r="AD319">
            <v>43070</v>
          </cell>
          <cell r="AE319">
            <v>43100</v>
          </cell>
        </row>
        <row r="320">
          <cell r="C320" t="str">
            <v>DOPI-MUN-RM-ID-AD-372-2017</v>
          </cell>
          <cell r="M320" t="str">
            <v>PAOLA ALEJANDRA</v>
          </cell>
          <cell r="N320" t="str">
            <v>DIAZ</v>
          </cell>
          <cell r="O320" t="str">
            <v>RUIZ</v>
          </cell>
          <cell r="Q320" t="str">
            <v>OCA080707FG8</v>
          </cell>
          <cell r="V320">
            <v>43056</v>
          </cell>
          <cell r="AA320" t="str">
            <v>Acometida eléctrica y obra complementaria para la terminación de la Unidad Deportiva Paseos del Briseño municipio de Zapopan, Jalisco.</v>
          </cell>
          <cell r="AD320">
            <v>43060</v>
          </cell>
          <cell r="AE320">
            <v>43115</v>
          </cell>
        </row>
        <row r="321">
          <cell r="C321" t="str">
            <v>DOPI-MUN-RM-PROY-AD-373-2017</v>
          </cell>
          <cell r="M321" t="str">
            <v>RICARDO</v>
          </cell>
          <cell r="N321" t="str">
            <v>GONZÁLEZ</v>
          </cell>
          <cell r="O321" t="str">
            <v>CARRANZA</v>
          </cell>
          <cell r="Q321" t="str">
            <v>GOCR801106234</v>
          </cell>
          <cell r="V321">
            <v>43042</v>
          </cell>
          <cell r="AA321" t="str">
            <v>Elaboración de proyecto ejecutivo de la Unidad Deportiva Valle de los Molinos, municipio de Zapopan, Jalisco.</v>
          </cell>
          <cell r="AD321">
            <v>43045</v>
          </cell>
          <cell r="AE321">
            <v>43100</v>
          </cell>
        </row>
        <row r="322">
          <cell r="C322" t="str">
            <v>DOPI-MUN-RM-SERV-AD-374-2017</v>
          </cell>
          <cell r="M322" t="str">
            <v>JOEL</v>
          </cell>
          <cell r="N322" t="str">
            <v>ZULOAGA</v>
          </cell>
          <cell r="O322" t="str">
            <v>ACEVES</v>
          </cell>
          <cell r="Q322" t="str">
            <v>TSC100210E48</v>
          </cell>
          <cell r="V322">
            <v>43021</v>
          </cell>
          <cell r="AA322" t="str">
            <v>Estudios de mecánica de suelos y diseño de pavimentos de diferentes obras 2017 del municipio de Zapopan, Jalisco, etapa 2.</v>
          </cell>
          <cell r="AD322">
            <v>43024</v>
          </cell>
          <cell r="AE322">
            <v>43100</v>
          </cell>
        </row>
        <row r="323">
          <cell r="C323" t="str">
            <v>DOPI-MUN-RM-PROY-AD-375-2017</v>
          </cell>
          <cell r="M323" t="str">
            <v xml:space="preserve">HÉCTOR ALEJANDRO </v>
          </cell>
          <cell r="N323" t="str">
            <v xml:space="preserve">ORTEGA </v>
          </cell>
          <cell r="O323" t="str">
            <v>ROSALES</v>
          </cell>
          <cell r="Q323" t="str">
            <v>ISS920330811</v>
          </cell>
          <cell r="V323">
            <v>43050</v>
          </cell>
          <cell r="AA323" t="str">
            <v>Diagnóstico, diseño y proyectos de infraestructura eléctrica 2017, segunda etapa, municipio de Zapopan, Jalisco.</v>
          </cell>
          <cell r="AD323">
            <v>43050</v>
          </cell>
          <cell r="AE323">
            <v>43100</v>
          </cell>
        </row>
        <row r="324">
          <cell r="C324" t="str">
            <v>DOPI-MUN-RM-ELE-AD-376-2017</v>
          </cell>
          <cell r="M324" t="str">
            <v>FAUSTO</v>
          </cell>
          <cell r="N324" t="str">
            <v>GARNICA</v>
          </cell>
          <cell r="O324" t="str">
            <v>PADILLA</v>
          </cell>
          <cell r="Q324" t="str">
            <v>GAPF5912193V9</v>
          </cell>
          <cell r="V324">
            <v>43050</v>
          </cell>
          <cell r="AA324" t="str">
            <v>Trabajos complementarios de infraestructura eléctrica y de alumbrado público, frente 1, municipio de Zapopan, Jalisco</v>
          </cell>
          <cell r="AD324">
            <v>43050</v>
          </cell>
          <cell r="AE324">
            <v>43131</v>
          </cell>
        </row>
        <row r="325">
          <cell r="C325" t="str">
            <v>DOPI-MUN-RM-ID-AD-377-2017</v>
          </cell>
          <cell r="M325" t="str">
            <v>MARÍA ARCELIA</v>
          </cell>
          <cell r="N325" t="str">
            <v>IÑIGUEZ</v>
          </cell>
          <cell r="O325" t="str">
            <v>HERNÁNDEZ</v>
          </cell>
          <cell r="Q325" t="str">
            <v>IRH140924LX3</v>
          </cell>
          <cell r="V325">
            <v>43042</v>
          </cell>
          <cell r="AA325" t="str">
            <v>Construcción de fuente interactiva y estructura con lonaria para protección de rayos ultravioleta para gradería en cancha de fut bol de la Unidad Deportiva Miguel de la Madrid, municipio de Zapopan, Jalisco.</v>
          </cell>
          <cell r="AD325">
            <v>43045</v>
          </cell>
          <cell r="AE325">
            <v>43100</v>
          </cell>
        </row>
        <row r="326">
          <cell r="C326" t="str">
            <v>DOPI-MUN-RM-ELE-AD-378-2017</v>
          </cell>
          <cell r="M326" t="str">
            <v xml:space="preserve">MARCO ANTONIO </v>
          </cell>
          <cell r="N326" t="str">
            <v>LOZANO</v>
          </cell>
          <cell r="O326" t="str">
            <v>ESTRADA</v>
          </cell>
          <cell r="Q326" t="str">
            <v>DFU090928JB5</v>
          </cell>
          <cell r="V326">
            <v>43042</v>
          </cell>
          <cell r="AA326" t="str">
            <v>Red de electrificación en media tensión en la calle Capulín, en la localidad de Tesistán, municipio de Zapopan, Jalisco.</v>
          </cell>
          <cell r="AD326">
            <v>43045</v>
          </cell>
          <cell r="AE326">
            <v>43100</v>
          </cell>
        </row>
        <row r="327">
          <cell r="C327" t="str">
            <v>DOPI-MUN-RM-DS-AD-379-2017</v>
          </cell>
          <cell r="M327" t="str">
            <v>J. GERARDO</v>
          </cell>
          <cell r="N327" t="str">
            <v>NICANOR</v>
          </cell>
          <cell r="O327" t="str">
            <v>MEJIA MARISCAL</v>
          </cell>
          <cell r="Q327" t="str">
            <v>ICO980722MQ4</v>
          </cell>
          <cell r="V327">
            <v>43042</v>
          </cell>
          <cell r="AA327" t="str">
            <v>Construcción de colector pluvial en la calle Plata en el tramo de Juan Pablo II a calle Insurgentes, colonia San José del Bajio, municipio de Zapopan, Jalisco.</v>
          </cell>
          <cell r="AD327">
            <v>43045</v>
          </cell>
          <cell r="AE327">
            <v>43146</v>
          </cell>
        </row>
        <row r="328">
          <cell r="C328" t="str">
            <v>DOPI-MUN-RM-IH-AD-380-2017</v>
          </cell>
          <cell r="M328" t="str">
            <v>AMALIA</v>
          </cell>
          <cell r="N328" t="str">
            <v>MORENO</v>
          </cell>
          <cell r="O328" t="str">
            <v>MALDONADO</v>
          </cell>
          <cell r="Q328" t="str">
            <v>GCM020226F28</v>
          </cell>
          <cell r="V328">
            <v>43053</v>
          </cell>
          <cell r="AA328" t="str">
            <v>Trabajos de interconexión de la red de distribución a la red del SIAPA en la localidad de Santa Anta Tepetitlán, municipio de Zapopan, Jalisco, primera etapa.</v>
          </cell>
          <cell r="AD328">
            <v>43054</v>
          </cell>
          <cell r="AE328">
            <v>43100</v>
          </cell>
        </row>
        <row r="329">
          <cell r="C329" t="str">
            <v>DOPI-MUN-CUSMAX-ID-AD-381-2017</v>
          </cell>
          <cell r="M329" t="str">
            <v xml:space="preserve">BEATRIZ </v>
          </cell>
          <cell r="N329" t="str">
            <v xml:space="preserve">MORA  </v>
          </cell>
          <cell r="O329" t="str">
            <v xml:space="preserve"> MEDINA </v>
          </cell>
          <cell r="Q329" t="str">
            <v>PES121109MN7</v>
          </cell>
          <cell r="V329">
            <v>43080</v>
          </cell>
          <cell r="AA329" t="str">
            <v>Rehabilitación de la Unidad Deportiva Santa Ana Tepetitlán, (Alcances: cancha de usos múltiples, motivo de ingreso, juegos infantiles, gimnasio al aire libre, andadores, accesibilidad, pintura y alumbrado público), primera etapa, municipio de Zapopan, Jalisco.</v>
          </cell>
          <cell r="AD329">
            <v>43080</v>
          </cell>
          <cell r="AE329">
            <v>43177</v>
          </cell>
        </row>
        <row r="330">
          <cell r="C330" t="str">
            <v>DOPI-MUN-RM-APDS-AD-001-2018</v>
          </cell>
          <cell r="M330" t="str">
            <v xml:space="preserve">NÉSTOR </v>
          </cell>
          <cell r="N330" t="str">
            <v>DE LA TORRE</v>
          </cell>
          <cell r="O330" t="str">
            <v>MENCHACA</v>
          </cell>
          <cell r="Q330" t="str">
            <v>ITO951005HY5</v>
          </cell>
          <cell r="V330">
            <v>43115</v>
          </cell>
          <cell r="AA330" t="str">
            <v>Construcción de red de agua potable y drenaje sanitario en la Av. Camino Antiguo a Tesistán de la calle De Las Palmeras a Arcos de Alejandro, en la colonia Parques de Zapopan, municipio de Zapopan, Jalisco.</v>
          </cell>
          <cell r="AD330">
            <v>43115</v>
          </cell>
          <cell r="AE330">
            <v>43177</v>
          </cell>
        </row>
        <row r="331">
          <cell r="C331" t="str">
            <v>DOPI-MUN-RM-PROY-AD-002-2018</v>
          </cell>
          <cell r="M331" t="str">
            <v>JOSÉ MANUEL</v>
          </cell>
          <cell r="N331" t="str">
            <v>GÓMEZ</v>
          </cell>
          <cell r="O331" t="str">
            <v>CASTELLANOS</v>
          </cell>
          <cell r="Q331" t="str">
            <v>GDI020122D2A</v>
          </cell>
          <cell r="V331">
            <v>43115</v>
          </cell>
          <cell r="AA331" t="str">
            <v>Análisis de alternativas y anteproyecto del Parque Central, ubicado en la colonia Tepeyac, municipio de Zapopan, Jalisco.</v>
          </cell>
          <cell r="AD331">
            <v>43115</v>
          </cell>
          <cell r="AE331">
            <v>43159</v>
          </cell>
        </row>
        <row r="332">
          <cell r="C332" t="str">
            <v>DOPI-MUN-RM-BAN-AD-003-2018</v>
          </cell>
          <cell r="M332" t="str">
            <v>TOMÁS</v>
          </cell>
          <cell r="N332" t="str">
            <v>SANDOVAL</v>
          </cell>
          <cell r="O332" t="str">
            <v>ÁLVAREZ</v>
          </cell>
          <cell r="Q332" t="str">
            <v>CRM910909K48</v>
          </cell>
          <cell r="V332">
            <v>43115</v>
          </cell>
          <cell r="AA332" t="str">
            <v>Peatonalización, construcción de banquetas, guarniciones, bolardos, accesibilidad, en la colonia Parques de Zapopan, municipio de Zapopan, Jalisco, primera etapa.</v>
          </cell>
          <cell r="AD332">
            <v>43115</v>
          </cell>
          <cell r="AE332">
            <v>43192</v>
          </cell>
        </row>
        <row r="333">
          <cell r="C333" t="str">
            <v>DOPI-MUN-RM-IS-AD-004-2018</v>
          </cell>
          <cell r="M333" t="str">
            <v>LUIS ARMANDO</v>
          </cell>
          <cell r="N333" t="str">
            <v>LINARES</v>
          </cell>
          <cell r="O333" t="str">
            <v>CACHO</v>
          </cell>
          <cell r="Q333" t="str">
            <v>UMN160125869</v>
          </cell>
          <cell r="V333">
            <v>43150</v>
          </cell>
          <cell r="AA333" t="str">
            <v>Albañilería, acabados, cancelería e instalación eléctrica en el área de administración y rayos X, y obra complementaria en el estacionamiento, en la Cruz Verde Federalismo, municipio de Zapopan, Jalisco.</v>
          </cell>
          <cell r="AD333">
            <v>43150</v>
          </cell>
          <cell r="AE333">
            <v>43174</v>
          </cell>
        </row>
        <row r="334">
          <cell r="C334" t="str">
            <v>DOPI-MUN-RM-BAN-AD-005-2018</v>
          </cell>
          <cell r="M334" t="str">
            <v>JOSÉ ANTONIO</v>
          </cell>
          <cell r="N334" t="str">
            <v>ÁLVAREZ</v>
          </cell>
          <cell r="O334" t="str">
            <v>ZULOAGA</v>
          </cell>
          <cell r="Q334" t="str">
            <v>GDA150928286</v>
          </cell>
          <cell r="V334">
            <v>43150</v>
          </cell>
          <cell r="AA334" t="str">
            <v>Construcción de banquetas y peatonalización en la Zona de Nixticuitl, municipio de Zapopan, Jalisco.</v>
          </cell>
          <cell r="AD334">
            <v>43150</v>
          </cell>
          <cell r="AE334">
            <v>43189</v>
          </cell>
        </row>
        <row r="335">
          <cell r="C335" t="str">
            <v>DOPI-MUN-RM-BAN-AD-006-2018</v>
          </cell>
          <cell r="M335" t="str">
            <v xml:space="preserve">FRANCISCO GUSTAVO </v>
          </cell>
          <cell r="N335" t="str">
            <v>ACEVES</v>
          </cell>
          <cell r="O335" t="str">
            <v xml:space="preserve">GARZA </v>
          </cell>
          <cell r="Q335" t="str">
            <v>TSI0906015A9</v>
          </cell>
          <cell r="V335">
            <v>43150</v>
          </cell>
          <cell r="AA335" t="str">
            <v>Peatonalización, construcción de banquetas, sustitución de guarniciones, bolardos, señalética vertical y horizontal en la Av. Romanos de Del Dolmen a Av. Patria, en la colonia Altamira, municipio de Zapopan, Jalisco.</v>
          </cell>
          <cell r="AD335">
            <v>43150</v>
          </cell>
          <cell r="AE335">
            <v>43174</v>
          </cell>
        </row>
        <row r="336">
          <cell r="C336" t="str">
            <v>DOPI-MUN-RM-IE-AD-007-2018</v>
          </cell>
          <cell r="M336" t="str">
            <v xml:space="preserve">ALEJANDRO LUIS </v>
          </cell>
          <cell r="N336" t="str">
            <v xml:space="preserve">VAIDOVITS </v>
          </cell>
          <cell r="O336" t="str">
            <v xml:space="preserve"> SCHNURER</v>
          </cell>
          <cell r="Q336" t="str">
            <v>PME930817EV7</v>
          </cell>
          <cell r="V336">
            <v>43140</v>
          </cell>
          <cell r="AA336" t="str">
            <v>Reforzamiento Complementario de estructuras con lonarias los planteles educativos: Primaria Diego Rivera (14DPR3789G) y Escuela Alfredo V. Bonfil (14EPR1115G), municipio de Zapopan, Jalisco.</v>
          </cell>
          <cell r="AD336">
            <v>43143</v>
          </cell>
          <cell r="AE336">
            <v>43190</v>
          </cell>
        </row>
        <row r="337">
          <cell r="C337" t="str">
            <v>DOPI-MUN-RM-ID-AD-008-2018</v>
          </cell>
          <cell r="M337" t="str">
            <v>MARÍA ARCELIA</v>
          </cell>
          <cell r="N337" t="str">
            <v>IÑIGUEZ</v>
          </cell>
          <cell r="O337" t="str">
            <v>HERNÁNDEZ</v>
          </cell>
          <cell r="Q337" t="str">
            <v>COP1209104M8</v>
          </cell>
          <cell r="V337">
            <v>43145</v>
          </cell>
          <cell r="AA337" t="str">
            <v>Construcción de cancha de usos múltiples, iluminación, ingreso, infraestructura pluvial, pista de trote y andadores en la Unidad Deportiva Miguel de la Madrid, municipio de Zapopan, Jalisco.</v>
          </cell>
          <cell r="AD337">
            <v>43146</v>
          </cell>
          <cell r="AE337">
            <v>43190</v>
          </cell>
        </row>
        <row r="338">
          <cell r="C338" t="str">
            <v>DOPI-MUN-RM-ID-AD-009-2018</v>
          </cell>
          <cell r="M338" t="str">
            <v>HUGO ARMANDO</v>
          </cell>
          <cell r="N338" t="str">
            <v>PRIETO</v>
          </cell>
          <cell r="O338" t="str">
            <v>JIMÉNEZ</v>
          </cell>
          <cell r="Q338" t="str">
            <v>CRP870708I62</v>
          </cell>
          <cell r="V338">
            <v>43145</v>
          </cell>
          <cell r="AA338" t="str">
            <v>Obra civil, Juegos infantiles, mobiliario urbano en la Unidad Deportiva Miguel de la Madrid, municipio de Zapopan, Jalisco.</v>
          </cell>
          <cell r="AD338">
            <v>43146</v>
          </cell>
          <cell r="AE338">
            <v>43200</v>
          </cell>
        </row>
        <row r="339">
          <cell r="C339" t="str">
            <v>DOPI-MUN-RM-PAV-AD-010-2018</v>
          </cell>
          <cell r="M339" t="str">
            <v xml:space="preserve">ELIZABETH </v>
          </cell>
          <cell r="N339" t="str">
            <v xml:space="preserve">DELGADO </v>
          </cell>
          <cell r="O339" t="str">
            <v>NAVARRO</v>
          </cell>
          <cell r="Q339" t="str">
            <v>MSC090401AZ0</v>
          </cell>
          <cell r="V339">
            <v>43145</v>
          </cell>
          <cell r="AA339" t="str">
            <v>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1.</v>
          </cell>
          <cell r="AD339">
            <v>43146</v>
          </cell>
          <cell r="AE339">
            <v>43190</v>
          </cell>
        </row>
        <row r="340">
          <cell r="C340" t="str">
            <v>DOPI-MUN-RM-OC-AD-011-2018</v>
          </cell>
          <cell r="M340" t="str">
            <v>ELBA</v>
          </cell>
          <cell r="N340" t="str">
            <v xml:space="preserve">GONZÁLEZ </v>
          </cell>
          <cell r="O340" t="str">
            <v>AGUIRRE</v>
          </cell>
          <cell r="Q340" t="str">
            <v>GUR120612P22</v>
          </cell>
          <cell r="V340">
            <v>43145</v>
          </cell>
          <cell r="AA340" t="str">
            <v>Obras emergentes de rehabilitación de muros, plantillas y elementos estructurales en al arroyo Garabato, zona El Briseño, municipio de Zapopan, Jalisco.</v>
          </cell>
          <cell r="AD340">
            <v>43146</v>
          </cell>
          <cell r="AE340">
            <v>43195</v>
          </cell>
        </row>
        <row r="341">
          <cell r="C341" t="str">
            <v>DOPI-MUN-RM-IH-AD-012-2018</v>
          </cell>
          <cell r="M341" t="str">
            <v>ALFREDO</v>
          </cell>
          <cell r="N341" t="str">
            <v>AGUIRRE</v>
          </cell>
          <cell r="O341" t="str">
            <v>MONTOYA</v>
          </cell>
          <cell r="Q341" t="str">
            <v>TAI920312952</v>
          </cell>
          <cell r="V341">
            <v>43145</v>
          </cell>
          <cell r="AA341" t="str">
            <v>Construcción de colector pluvial en Boulevard del Rodeo, de la calle Juan Pablo II a calle Escorial, municipio de Zapopan, Jalisco, frente 1.</v>
          </cell>
          <cell r="AD341">
            <v>43146</v>
          </cell>
          <cell r="AE341">
            <v>43190</v>
          </cell>
        </row>
        <row r="342">
          <cell r="C342" t="str">
            <v>DOPI-MUN-RM-ID-AD-013-2018</v>
          </cell>
          <cell r="M342" t="str">
            <v xml:space="preserve">EDUARDO </v>
          </cell>
          <cell r="N342" t="str">
            <v>CRUZ</v>
          </cell>
          <cell r="O342" t="str">
            <v>MOGUEL</v>
          </cell>
          <cell r="Q342" t="str">
            <v>BAL990803661</v>
          </cell>
          <cell r="V342">
            <v>43145</v>
          </cell>
          <cell r="AA342" t="str">
            <v>Instalación de pasto sintético en cancha de futbol y en área de juegos en la unidad santa margarita.</v>
          </cell>
          <cell r="AD342">
            <v>43146</v>
          </cell>
          <cell r="AE342">
            <v>43190</v>
          </cell>
        </row>
        <row r="343">
          <cell r="C343" t="str">
            <v>DOPI-MUN-RM-ID-AD-014-2018</v>
          </cell>
          <cell r="M343" t="str">
            <v xml:space="preserve"> MARTHA </v>
          </cell>
          <cell r="N343" t="str">
            <v>JIMÉNEZ</v>
          </cell>
          <cell r="O343" t="str">
            <v>LÓPEZ</v>
          </cell>
          <cell r="Q343" t="str">
            <v>IBO090918ET9</v>
          </cell>
          <cell r="V343">
            <v>43145</v>
          </cell>
          <cell r="AA343" t="str">
            <v>Construcción de losa de cimentación y graderías en la zona de canchas en la unidad deportiva santa margarita.</v>
          </cell>
          <cell r="AD343">
            <v>43146</v>
          </cell>
          <cell r="AE343">
            <v>43190</v>
          </cell>
        </row>
        <row r="344">
          <cell r="M344" t="str">
            <v>DAVID SERGIO</v>
          </cell>
          <cell r="N344" t="str">
            <v>DOMINGUEZ</v>
          </cell>
          <cell r="O344" t="str">
            <v>MEZA</v>
          </cell>
          <cell r="Q344" t="str">
            <v>VCO9412201J0</v>
          </cell>
          <cell r="V344">
            <v>43145</v>
          </cell>
          <cell r="AA344" t="str">
            <v>Construcción de red de drenaje sanitario, red de agua potable e infraestructura pluvial en calle 16 de Septiembre de calle Angulo a la Av. 5 de Mayo, en San Juan de Ocotán, municipio de Zapopan, Jalisco.</v>
          </cell>
          <cell r="AD344">
            <v>43146</v>
          </cell>
          <cell r="AE344">
            <v>43200</v>
          </cell>
        </row>
        <row r="345">
          <cell r="C345" t="str">
            <v>DOPI-MUN-RM-PAV-AD-016-2018</v>
          </cell>
          <cell r="M345" t="str">
            <v>JOSÉ OMAR</v>
          </cell>
          <cell r="N345" t="str">
            <v>FERNÁNDEZ</v>
          </cell>
          <cell r="O345" t="str">
            <v>VÁZQUEZ</v>
          </cell>
          <cell r="Q345" t="str">
            <v>ECO0908115Z7</v>
          </cell>
          <cell r="V345">
            <v>43153</v>
          </cell>
          <cell r="AA345" t="str">
            <v>Pavimentación de vialidad Prolongación Guadalupe, de calle Prolongación Galindo a calle Puerto Chamela, en la colonia Miramar, incluye: red de agua potable, red de drenaje sanitario, banquetas, peatonalización, señalamiento y obras complementarias, municipio de Zapopan, Jalisco.</v>
          </cell>
          <cell r="AD345">
            <v>43154</v>
          </cell>
          <cell r="AE345">
            <v>43190</v>
          </cell>
        </row>
        <row r="346">
          <cell r="C346" t="str">
            <v>DOPI-MUN-RM-ID-AD-017-2018</v>
          </cell>
          <cell r="M346" t="str">
            <v>JOSÉ DE JESÚS</v>
          </cell>
          <cell r="N346" t="str">
            <v>ROMERO</v>
          </cell>
          <cell r="O346" t="str">
            <v>GARCÍA</v>
          </cell>
          <cell r="Q346" t="str">
            <v>URC160310857</v>
          </cell>
          <cell r="V346">
            <v>43159</v>
          </cell>
          <cell r="AA346" t="str">
            <v>Construcción de gimnasio al aire libre, incluye peatonalización, equipos, mobiliario urbano e iluminación en el camellón de la Prolongación Acueducto, entre Calzada Federalistas y Av. del Valle, en la colonia Jardines del Valle, municipio de Zapopan, Jalisco.</v>
          </cell>
          <cell r="AD346">
            <v>43160</v>
          </cell>
          <cell r="AE346">
            <v>43205</v>
          </cell>
        </row>
        <row r="347">
          <cell r="C347" t="str">
            <v>DOPI-MUN-RM-ID-AD-018-2018</v>
          </cell>
          <cell r="M347" t="str">
            <v xml:space="preserve">ARTURO </v>
          </cell>
          <cell r="N347" t="str">
            <v>DISTANCIA</v>
          </cell>
          <cell r="O347" t="str">
            <v>SÁNCHEZ</v>
          </cell>
          <cell r="Q347" t="str">
            <v>JCO160413SK4</v>
          </cell>
          <cell r="V347">
            <v>43164</v>
          </cell>
          <cell r="AA347" t="str">
            <v>Obra complementaria para la terminación de módulo de baños en el Centro Acuático y rehabilitación de baños públicos en Unidad Deportiva Francisco Villa, municipio de Zapopan, Jalisco.</v>
          </cell>
          <cell r="AD347">
            <v>43164</v>
          </cell>
          <cell r="AE347">
            <v>43220</v>
          </cell>
        </row>
        <row r="348">
          <cell r="C348" t="str">
            <v>DOPI-MUN-RM-IM-AD-019-2018</v>
          </cell>
          <cell r="M348" t="str">
            <v>GUSTAVO ALEJANDRO</v>
          </cell>
          <cell r="N348" t="str">
            <v>LEDEZMA</v>
          </cell>
          <cell r="O348" t="str">
            <v xml:space="preserve"> CERVANTES</v>
          </cell>
          <cell r="Q348" t="str">
            <v>EPR131016I71</v>
          </cell>
          <cell r="V348">
            <v>43164</v>
          </cell>
          <cell r="AA348" t="str">
            <v>Obra complementaria del centro comunitario, Centro de Emprendimiento, en la colonia Miramar, municipio de Zapopan, Jalisco.</v>
          </cell>
          <cell r="AD348">
            <v>43164</v>
          </cell>
          <cell r="AE348">
            <v>43205</v>
          </cell>
        </row>
        <row r="349">
          <cell r="C349" t="str">
            <v>DOPI-MUN-RM-IM-AD-020-2018</v>
          </cell>
          <cell r="M349" t="str">
            <v xml:space="preserve">MARCO ANTONIO </v>
          </cell>
          <cell r="N349" t="str">
            <v>LOZANO</v>
          </cell>
          <cell r="O349" t="str">
            <v>ESTRADA</v>
          </cell>
          <cell r="Q349" t="str">
            <v>DFU090928JB5</v>
          </cell>
          <cell r="V349">
            <v>43171</v>
          </cell>
          <cell r="AA349" t="str">
            <v>Construcción de Parkour y estacionamiento en la Unidad Santa Margarita, municipio de Zapopan, Jalisco.</v>
          </cell>
          <cell r="AD349">
            <v>43171</v>
          </cell>
          <cell r="AE349">
            <v>43220</v>
          </cell>
        </row>
        <row r="350">
          <cell r="C350" t="str">
            <v>DOPI-MUN-RM-IE-AD-021-2018</v>
          </cell>
          <cell r="M350" t="str">
            <v>ARTURO RAFAEL</v>
          </cell>
          <cell r="N350" t="str">
            <v>SALAZAR</v>
          </cell>
          <cell r="O350" t="str">
            <v>MARTÍN DEL CAMPO</v>
          </cell>
          <cell r="Q350" t="str">
            <v>KCO030922UM6</v>
          </cell>
          <cell r="V350">
            <v>43164</v>
          </cell>
          <cell r="AA350" t="str">
            <v>Reforzamiento complementario de estructuras de protección de rayos ultravioleta en los planteles educativos: Secundaria José Antonio Torres (14DE50017T) y Carlos González Peña (14EPR1341C), municipio de Zapopan, Jalisco.</v>
          </cell>
          <cell r="AD350">
            <v>43164</v>
          </cell>
          <cell r="AE350">
            <v>43220</v>
          </cell>
        </row>
        <row r="351">
          <cell r="C351" t="str">
            <v>DOPI-MUN-RM-SERV-AD-103-2018</v>
          </cell>
          <cell r="M351" t="str">
            <v>ARMANDO</v>
          </cell>
          <cell r="N351" t="str">
            <v>ARROYO</v>
          </cell>
          <cell r="O351" t="str">
            <v>ZEPEDA</v>
          </cell>
          <cell r="Q351" t="str">
            <v>CEI000807E95</v>
          </cell>
          <cell r="V351">
            <v>43178</v>
          </cell>
          <cell r="AA351" t="str">
            <v>Diagnóstico, diseño y proyectos de infraestructura eléctrica para obras de ramo 33, municipio de Zapopan, Jalisco, frente 1.</v>
          </cell>
          <cell r="AD351">
            <v>43178</v>
          </cell>
          <cell r="AE351">
            <v>43251</v>
          </cell>
        </row>
        <row r="352">
          <cell r="C352" t="str">
            <v>DOPI-MUN-RM-MOV-AD-106-2018</v>
          </cell>
          <cell r="M352" t="str">
            <v>ANDRÉS EDUARDO</v>
          </cell>
          <cell r="N352" t="str">
            <v>ACEVES</v>
          </cell>
          <cell r="O352" t="str">
            <v>CASTAÑEDA</v>
          </cell>
          <cell r="Q352" t="str">
            <v>SCO100609EVA</v>
          </cell>
          <cell r="V352">
            <v>43234</v>
          </cell>
          <cell r="AA352" t="str">
            <v>Señalización vertical, horizontal y servicios complementarios en la Lateral Poniente de Periférico de Prolongación Av. Central Guillermo González Camarena a calle 5 de Mayo, municipio de Zapopan, Jalisco.</v>
          </cell>
          <cell r="AD352">
            <v>43235</v>
          </cell>
          <cell r="AE352">
            <v>43277</v>
          </cell>
        </row>
        <row r="353">
          <cell r="C353" t="str">
            <v>DOPI-MUN-RM-IM-AD-107-2018</v>
          </cell>
          <cell r="M353" t="str">
            <v xml:space="preserve">ARTURO </v>
          </cell>
          <cell r="N353" t="str">
            <v>DISTANCIA</v>
          </cell>
          <cell r="O353" t="str">
            <v>SÁNCHEZ</v>
          </cell>
          <cell r="Q353" t="str">
            <v>JCO160413SK4</v>
          </cell>
          <cell r="V353">
            <v>43203</v>
          </cell>
          <cell r="AA353" t="str">
            <v>Rehabilitación de módulo de oficinas y aulas para academias municipales, ubicado en Av. Tabachines en su cruce con Periférico Norte, municipio de Zapopan, Jalisco.</v>
          </cell>
          <cell r="AD353">
            <v>43206</v>
          </cell>
          <cell r="AE353">
            <v>43251</v>
          </cell>
        </row>
        <row r="354">
          <cell r="C354" t="str">
            <v>DOPI-MUN-RM-PAV-AD-108-2018</v>
          </cell>
          <cell r="M354" t="str">
            <v>CARLOS</v>
          </cell>
          <cell r="N354" t="str">
            <v>PÉREZ</v>
          </cell>
          <cell r="O354" t="str">
            <v>CRUZ</v>
          </cell>
          <cell r="Q354" t="str">
            <v>CPE070123PD4</v>
          </cell>
          <cell r="V354">
            <v>43175</v>
          </cell>
          <cell r="AA354" t="str">
            <v>Construcción de pavimento de concreto hidráulico, incluye: guarniciones, banquetas, accesibilidad y servicios complementarios en la calle Nueva Orleans de Lituania a Av. Juan Gil Preciado, colonia Juan Gil Preciado, municipio de Zapopan, Jalisco.</v>
          </cell>
          <cell r="AD354">
            <v>43178</v>
          </cell>
          <cell r="AE354">
            <v>43251</v>
          </cell>
        </row>
        <row r="355">
          <cell r="C355" t="str">
            <v>DOPI-MUN-RM-IM-AD-109-2018</v>
          </cell>
          <cell r="M355" t="str">
            <v xml:space="preserve">J. JESÚS </v>
          </cell>
          <cell r="N355" t="str">
            <v>CÁRDENAS</v>
          </cell>
          <cell r="O355" t="str">
            <v>SILVA</v>
          </cell>
          <cell r="Q355" t="str">
            <v>SKC171027PH6</v>
          </cell>
          <cell r="V355">
            <v>43187</v>
          </cell>
          <cell r="AA355" t="str">
            <v>Estructura con lonaria en cancha de basketball en la Unidad Deportiva República, ubicada en la colonia Centro, municipio de Zapopan, Jalisco.</v>
          </cell>
          <cell r="AD355">
            <v>43192</v>
          </cell>
          <cell r="AE355">
            <v>43235</v>
          </cell>
        </row>
        <row r="356">
          <cell r="C356" t="str">
            <v>DOPI-MUN-RM-PROY-AD-110-2018</v>
          </cell>
          <cell r="M356" t="str">
            <v>RICARDO</v>
          </cell>
          <cell r="N356" t="str">
            <v>HARO</v>
          </cell>
          <cell r="O356" t="str">
            <v>BUGARIN</v>
          </cell>
          <cell r="Q356" t="str">
            <v>CED030514T47</v>
          </cell>
          <cell r="V356">
            <v>43187</v>
          </cell>
          <cell r="AA356" t="str">
            <v>Diagnóstico, diseño y proyectos estructurales de diferentes elementos del programa 2018 primera etapa, municipio de Zapopan, Jalisco.</v>
          </cell>
          <cell r="AD356">
            <v>43192</v>
          </cell>
          <cell r="AE356">
            <v>43312</v>
          </cell>
        </row>
        <row r="357">
          <cell r="C357" t="str">
            <v>DOPI-MUN-RM-SERV-AD-111-2018</v>
          </cell>
          <cell r="M357" t="str">
            <v>RICARDO</v>
          </cell>
          <cell r="N357" t="str">
            <v>MEZA</v>
          </cell>
          <cell r="O357" t="str">
            <v>PONCE</v>
          </cell>
          <cell r="Q357" t="str">
            <v>CCM1405243C4</v>
          </cell>
          <cell r="V357">
            <v>43175</v>
          </cell>
          <cell r="AA357" t="str">
            <v>Control de calidad de diferentes obras 2018 del municipio de Zapopan, Jalisco, frente 1.</v>
          </cell>
          <cell r="AD357">
            <v>43178</v>
          </cell>
          <cell r="AE357">
            <v>43343</v>
          </cell>
        </row>
        <row r="358">
          <cell r="C358" t="str">
            <v>DOPI-MUN-RM-SERV-AD-112-2018</v>
          </cell>
          <cell r="M358" t="str">
            <v>JOSÉ ALEJANDRO</v>
          </cell>
          <cell r="N358" t="str">
            <v>ALVA</v>
          </cell>
          <cell r="O358" t="str">
            <v>DELGADO</v>
          </cell>
          <cell r="Q358" t="str">
            <v>SOC150806E69</v>
          </cell>
          <cell r="V358">
            <v>43175</v>
          </cell>
          <cell r="AA358" t="str">
            <v>Control de calidad de diferentes obras 2018 del municipio de Zapopan, Jalisco, frente 2.</v>
          </cell>
          <cell r="AD358">
            <v>43178</v>
          </cell>
          <cell r="AE358">
            <v>43343</v>
          </cell>
        </row>
        <row r="359">
          <cell r="C359" t="str">
            <v>DOPI-MUN-RM-SERV-AD-113-2018</v>
          </cell>
          <cell r="M359" t="str">
            <v>RICARDO</v>
          </cell>
          <cell r="N359" t="str">
            <v>MEZA</v>
          </cell>
          <cell r="O359" t="str">
            <v>PONCE</v>
          </cell>
          <cell r="Q359" t="str">
            <v>CCM1405243C4</v>
          </cell>
          <cell r="V359">
            <v>43175</v>
          </cell>
          <cell r="AA359" t="str">
            <v>Control topográfico en trazo y nivelación de elementos estructurales, urbanisticos para la Construcción del Centro Integral de Servicios del Municipio de Zapopan.</v>
          </cell>
          <cell r="AD359">
            <v>43178</v>
          </cell>
          <cell r="AE359">
            <v>43343</v>
          </cell>
        </row>
        <row r="360">
          <cell r="C360" t="str">
            <v>DOPI-MUN-RM-IM-AD-114-2018</v>
          </cell>
          <cell r="M360" t="str">
            <v>ALFREDO</v>
          </cell>
          <cell r="N360" t="str">
            <v>FLORES</v>
          </cell>
          <cell r="O360" t="str">
            <v>CHÁVEZ</v>
          </cell>
          <cell r="Q360" t="str">
            <v>FOCA830904HT8</v>
          </cell>
          <cell r="V360">
            <v>43173</v>
          </cell>
          <cell r="AA360" t="str">
            <v>Rehabilitación del Centro Comunitario en la colonia El Colli CTM, municipio de Zapopan, Jalisco, segunda etapa.</v>
          </cell>
          <cell r="AD360">
            <v>43174</v>
          </cell>
          <cell r="AE360">
            <v>43220</v>
          </cell>
        </row>
        <row r="361">
          <cell r="C361" t="str">
            <v>DOPI-MUN-RM-PAV-AD-115-2018</v>
          </cell>
          <cell r="M361" t="str">
            <v>JUAN CARLOS</v>
          </cell>
          <cell r="N361" t="str">
            <v>SUAZO</v>
          </cell>
          <cell r="O361" t="str">
            <v>HERNÁNDEZ</v>
          </cell>
          <cell r="Q361" t="str">
            <v>CCO1304181PA</v>
          </cell>
          <cell r="V361">
            <v>43187</v>
          </cell>
          <cell r="AA361" t="str">
            <v>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2.</v>
          </cell>
          <cell r="AD361">
            <v>43192</v>
          </cell>
          <cell r="AE361">
            <v>43235</v>
          </cell>
        </row>
        <row r="362">
          <cell r="C362" t="str">
            <v>DOPI-MUN-RM-IH-AD-116-2018</v>
          </cell>
          <cell r="M362" t="str">
            <v>JOSÉ ANTONIO</v>
          </cell>
          <cell r="N362" t="str">
            <v>CUEVAS</v>
          </cell>
          <cell r="O362" t="str">
            <v>BRISEÑO</v>
          </cell>
          <cell r="Q362" t="str">
            <v>CUBA5705179V8</v>
          </cell>
          <cell r="V362">
            <v>43187</v>
          </cell>
          <cell r="AA362" t="str">
            <v>Construcción de colector pluvial en Boulevard del Rodeo, de la calle Juan Pablo II a calle Escorial, municipio de Zapopan, Jalisco, fente 2.</v>
          </cell>
          <cell r="AD362">
            <v>43192</v>
          </cell>
          <cell r="AE362">
            <v>43235</v>
          </cell>
        </row>
        <row r="363">
          <cell r="C363" t="str">
            <v>DOPI-MUN-RM-PAV-AD-117-2018</v>
          </cell>
          <cell r="M363" t="str">
            <v>CARLOS CELSO</v>
          </cell>
          <cell r="N363" t="str">
            <v>GARCÍA</v>
          </cell>
          <cell r="O363" t="str">
            <v>QUINTERO</v>
          </cell>
          <cell r="Q363" t="str">
            <v>GCH070702SH8</v>
          </cell>
          <cell r="V363">
            <v>43182</v>
          </cell>
          <cell r="AA363" t="str">
            <v>Pavimentación con concreto hidráulico de calle 16 de Septiembre de de calle Angulo a la Av. 5 de Mayo, incluye: banquetas, peatonalización, señalamiento y obras complementarias, en San Juan de Ocotán, municipio de Zapopan, Jalisco.</v>
          </cell>
          <cell r="AD363">
            <v>43185</v>
          </cell>
          <cell r="AE363">
            <v>43267</v>
          </cell>
        </row>
        <row r="364">
          <cell r="C364" t="str">
            <v>DOPI-MUN-RM-ELE-AD-118-2018</v>
          </cell>
          <cell r="M364" t="str">
            <v>ANA KARINA</v>
          </cell>
          <cell r="N364" t="str">
            <v>OJEDA</v>
          </cell>
          <cell r="O364" t="str">
            <v>FERRELL</v>
          </cell>
          <cell r="Q364" t="str">
            <v>KCI120928CD5</v>
          </cell>
          <cell r="V364">
            <v>43187</v>
          </cell>
          <cell r="AA364" t="str">
            <v>Red de electrificación de media y baja tensión en la Lateral Poniente de Periférico de Prolongación Av. Central Guillermo González Camarena a calle 5 de Mayo, municipio de Zapopan, Jalisco.</v>
          </cell>
          <cell r="AD364">
            <v>43192</v>
          </cell>
          <cell r="AE364">
            <v>43235</v>
          </cell>
        </row>
        <row r="365">
          <cell r="C365" t="str">
            <v>DOPI-MUN-RM-BACHEO-AD-119-2018</v>
          </cell>
          <cell r="M365" t="str">
            <v>ÁNGEL SALOMÓN</v>
          </cell>
          <cell r="N365" t="str">
            <v>RINCÓN</v>
          </cell>
          <cell r="O365" t="str">
            <v>DE LA ROSA</v>
          </cell>
          <cell r="Q365" t="str">
            <v>AAR120507VA9</v>
          </cell>
          <cell r="V365">
            <v>43187</v>
          </cell>
          <cell r="AA365" t="str">
            <v>Programa municipal de bacheo superficial aislado y nivelación con mezcla asfáltica en caliente en vialidades, Zona Sur Poniente, frente 1, municipio de Zapopan, Jalisco.</v>
          </cell>
          <cell r="AD365">
            <v>43192</v>
          </cell>
          <cell r="AE365">
            <v>43251</v>
          </cell>
        </row>
        <row r="366">
          <cell r="C366" t="str">
            <v>DOPI-MUN-RM-BACHEO-AD-120-2018</v>
          </cell>
          <cell r="M366" t="str">
            <v xml:space="preserve">HUGO </v>
          </cell>
          <cell r="N366" t="str">
            <v>BOJORQUEZ</v>
          </cell>
          <cell r="O366" t="str">
            <v>SÁNCHEZ</v>
          </cell>
          <cell r="Q366" t="str">
            <v>BJE1308202Z2</v>
          </cell>
          <cell r="V366">
            <v>43187</v>
          </cell>
          <cell r="AA366" t="str">
            <v>Programa municipal de bacheo superficial aislado y nivelación con mezcla asfáltica en vialidades, en diferentes Zonas, frente 1, municipio de Zapopan, Jalisco.</v>
          </cell>
          <cell r="AD366">
            <v>43192</v>
          </cell>
          <cell r="AE366">
            <v>43251</v>
          </cell>
        </row>
        <row r="367">
          <cell r="C367" t="str">
            <v>DOPI-MUN-RM-BACHEO-AD-121-2018</v>
          </cell>
          <cell r="M367" t="str">
            <v>RODRIGO</v>
          </cell>
          <cell r="N367" t="str">
            <v>RAMOS</v>
          </cell>
          <cell r="O367" t="str">
            <v>GARIBI</v>
          </cell>
          <cell r="Q367" t="str">
            <v>CMA070307RU6</v>
          </cell>
          <cell r="V367">
            <v>43187</v>
          </cell>
          <cell r="AA367" t="str">
            <v>Programa municipal de bacheo superficial aislado y nivelación con mezcla asfáltica en caliente en vialidades, Zona Nor Poniente, frente 1, municipio de Zapopan, Jalisco.</v>
          </cell>
          <cell r="AD367">
            <v>43192</v>
          </cell>
          <cell r="AE367">
            <v>43251</v>
          </cell>
        </row>
        <row r="368">
          <cell r="C368" t="str">
            <v>DOPI-MUN-RM-BACHEO-AD-122-2018</v>
          </cell>
          <cell r="M368" t="str">
            <v>JESÚS DAVID</v>
          </cell>
          <cell r="N368" t="str">
            <v xml:space="preserve">GARZA </v>
          </cell>
          <cell r="O368" t="str">
            <v>GARCÍA</v>
          </cell>
          <cell r="Q368" t="str">
            <v>CEA010615GT0</v>
          </cell>
          <cell r="V368">
            <v>43187</v>
          </cell>
          <cell r="AA368" t="str">
            <v>Programa municipal de bacheo superficial aislado y nivelación con mezcla asfáltica en caliente en vialidades, Zona Centro, frente 1, municipio de Zapopan, Jalisco.</v>
          </cell>
          <cell r="AD368">
            <v>43192</v>
          </cell>
          <cell r="AE368">
            <v>43251</v>
          </cell>
        </row>
        <row r="369">
          <cell r="C369" t="str">
            <v>DOPI-MUN-RM-CALAFATEO-AD-123-2018</v>
          </cell>
          <cell r="M369" t="str">
            <v>OSCAR MELESIO</v>
          </cell>
          <cell r="N369" t="str">
            <v>HERNÁNDEZ</v>
          </cell>
          <cell r="O369" t="str">
            <v>VALERIANO</v>
          </cell>
          <cell r="Q369" t="str">
            <v>CGR120828P29</v>
          </cell>
          <cell r="V369">
            <v>43187</v>
          </cell>
          <cell r="AA369" t="str">
            <v>Programa municipal de calafateo en juntas y grietas de pavimentos hidráulicos con sellador asfaltico en vialidades, Zona Centro, frente 1, municipio de Zapopan, Jalisco.</v>
          </cell>
          <cell r="AD369">
            <v>43192</v>
          </cell>
          <cell r="AE369">
            <v>43281</v>
          </cell>
        </row>
        <row r="370">
          <cell r="C370" t="str">
            <v>DOPI-MUN-RM-CALAFATEO-AD-124-2018</v>
          </cell>
          <cell r="M370" t="str">
            <v>JOSÉ DE JESÚS</v>
          </cell>
          <cell r="N370" t="str">
            <v>PALAFOX</v>
          </cell>
          <cell r="O370" t="str">
            <v>VILLEGAS</v>
          </cell>
          <cell r="Q370" t="str">
            <v>MCO1510113H8</v>
          </cell>
          <cell r="V370">
            <v>43187</v>
          </cell>
          <cell r="AA370" t="str">
            <v>Programa municipal de calafateo en juntas y grietas de pavimentos hidráulicos con sellador asfaltico en vialidades, Zona Sur Poniente, frente 1, municipio de Zapopan, Jalisco.</v>
          </cell>
          <cell r="AD370">
            <v>43192</v>
          </cell>
          <cell r="AE370">
            <v>43281</v>
          </cell>
        </row>
        <row r="371">
          <cell r="C371" t="str">
            <v>DOPI-MUN-RM-DES-AD-125-2018</v>
          </cell>
          <cell r="M371" t="str">
            <v>DARIO</v>
          </cell>
          <cell r="N371" t="str">
            <v>HURTADO</v>
          </cell>
          <cell r="O371" t="str">
            <v>SERRANO</v>
          </cell>
          <cell r="Q371" t="str">
            <v>EID120425SQ2</v>
          </cell>
          <cell r="V371">
            <v>43203</v>
          </cell>
          <cell r="AA371" t="str">
            <v>Desazolve, limpieza, rectificación y obras de protección de cauce y canal del Arroyo Garabato de Arenales Tapatíos a Periférico, municipio de Zapopan, Jalisco, primera etapa.</v>
          </cell>
          <cell r="AD371">
            <v>43206</v>
          </cell>
          <cell r="AE371">
            <v>43251</v>
          </cell>
        </row>
        <row r="372">
          <cell r="C372" t="str">
            <v>DOPI-MUN-RM-DES-AD-126-2018</v>
          </cell>
          <cell r="M372" t="str">
            <v>MA. LUIZA</v>
          </cell>
          <cell r="N372" t="str">
            <v>MARTÍNEZ</v>
          </cell>
          <cell r="O372" t="str">
            <v>ALMARAZ</v>
          </cell>
          <cell r="Q372" t="str">
            <v>JAS170622TX0</v>
          </cell>
          <cell r="V372">
            <v>43203</v>
          </cell>
          <cell r="AA372" t="str">
            <v>Desazolve, limpieza, rectificación y obras de protección de cauce y canal del Arroyo Seco de Lomas de la Primavera a Periférico, municipio de Zapopan, Jalisco, primera etapa.</v>
          </cell>
          <cell r="AD372">
            <v>43206</v>
          </cell>
          <cell r="AE372">
            <v>43281</v>
          </cell>
        </row>
        <row r="373">
          <cell r="C373" t="str">
            <v>DOPI-MUN-CUSMAX-IM-AD-127-2018</v>
          </cell>
          <cell r="M373" t="str">
            <v>RICARDO</v>
          </cell>
          <cell r="N373" t="str">
            <v>HARO</v>
          </cell>
          <cell r="O373" t="str">
            <v>BUGARIN</v>
          </cell>
          <cell r="Q373" t="str">
            <v>CED030514T47</v>
          </cell>
          <cell r="V373">
            <v>43203</v>
          </cell>
          <cell r="AA373" t="str">
            <v>Construcción de la cimentación y cisternas en la estación de bomberos, ubicada en Av. Universidad, municipio de Zapopan, Jalisco.</v>
          </cell>
          <cell r="AD373">
            <v>43206</v>
          </cell>
          <cell r="AE373">
            <v>43281</v>
          </cell>
        </row>
        <row r="374">
          <cell r="C374" t="str">
            <v>DOPI-MUN-R33-DS-AD-128-2018</v>
          </cell>
          <cell r="M374" t="str">
            <v>JOSÉ DE JESÚS</v>
          </cell>
          <cell r="N374" t="str">
            <v>PALAFOX</v>
          </cell>
          <cell r="O374" t="str">
            <v>VILLEGAS</v>
          </cell>
          <cell r="Q374" t="str">
            <v>MCO1510113H8</v>
          </cell>
          <cell r="V374">
            <v>43187</v>
          </cell>
          <cell r="AA374" t="str">
            <v>Construcción de red de drenaje en la Lateral Prolongación Mariano Otero, colonia Puerta del Bosque, municipio de Zapopan, Jalisco.</v>
          </cell>
          <cell r="AD374">
            <v>43192</v>
          </cell>
          <cell r="AE374">
            <v>43266</v>
          </cell>
        </row>
        <row r="375">
          <cell r="C375" t="str">
            <v>DOPI-MUN-R33-APDS-AD-129-2018</v>
          </cell>
          <cell r="M375" t="str">
            <v>JOSÉ DE JESÚS</v>
          </cell>
          <cell r="N375" t="str">
            <v>MARQUEZ</v>
          </cell>
          <cell r="O375" t="str">
            <v>ÁVILA</v>
          </cell>
          <cell r="Q375" t="str">
            <v>FUT1110275V9</v>
          </cell>
          <cell r="V375">
            <v>43187</v>
          </cell>
          <cell r="AA375" t="str">
            <v>Construcción de líneas de drenaje y agua potable en la calle Belisario Domínguez, en la colonia Mariano Otero, municipio de Zapopan, Jalisco.</v>
          </cell>
          <cell r="AD375">
            <v>43192</v>
          </cell>
          <cell r="AE375">
            <v>43266</v>
          </cell>
        </row>
        <row r="376">
          <cell r="C376" t="str">
            <v>DOPI-MUN-R33-APDS-AD-130-2018</v>
          </cell>
          <cell r="M376" t="str">
            <v>ALEJANDRO</v>
          </cell>
          <cell r="N376" t="str">
            <v>MONTUFAR</v>
          </cell>
          <cell r="O376" t="str">
            <v>NUÑEZ</v>
          </cell>
          <cell r="Q376" t="str">
            <v>CCV120524J49</v>
          </cell>
          <cell r="V376">
            <v>43187</v>
          </cell>
          <cell r="AA376" t="str">
            <v>Construcción de líneas de drenaje y agua potable en la colonia Miramar, municipio de Zapopan, Jalisco.</v>
          </cell>
          <cell r="AD376">
            <v>43192</v>
          </cell>
          <cell r="AE376">
            <v>43251</v>
          </cell>
        </row>
        <row r="377">
          <cell r="C377" t="str">
            <v>DOPI-MUN-RM-APDS-AD-131-2018</v>
          </cell>
          <cell r="M377" t="str">
            <v>FRANCISCO JAVIER</v>
          </cell>
          <cell r="N377" t="str">
            <v>AYALA</v>
          </cell>
          <cell r="O377" t="str">
            <v>LEAL</v>
          </cell>
          <cell r="Q377" t="str">
            <v>OPA140403K72</v>
          </cell>
          <cell r="V377">
            <v>43220</v>
          </cell>
          <cell r="AA377" t="str">
            <v>Construcción de red de drenaje y agua potable en la Privada Diaz, colonia California; Seccionamiento de red distribución en el crucero ubicado sobre la Av. Aviación en su cruce con Paseo San Arturo, en la localidad de San Juan de Ocotán, municipio de Zapopan, Jalisco.</v>
          </cell>
          <cell r="AD377">
            <v>43222</v>
          </cell>
          <cell r="AE377">
            <v>43266</v>
          </cell>
        </row>
        <row r="378">
          <cell r="C378" t="str">
            <v>DOPI-MUN-RM-PAV-AD-132-2018</v>
          </cell>
          <cell r="M378" t="str">
            <v>JOSÉ OMAR</v>
          </cell>
          <cell r="N378" t="str">
            <v>FERNÁNDEZ</v>
          </cell>
          <cell r="O378" t="str">
            <v>VÁZQUEZ</v>
          </cell>
          <cell r="Q378" t="str">
            <v>FEVO740619686</v>
          </cell>
          <cell r="V378">
            <v>43182</v>
          </cell>
          <cell r="AA378" t="str">
            <v>Construcción de pavimento de empedrado tradicional, incluye: línea de agua potable, descargas sanitarias, guarniciones, banquetas, accesibilidad y servicios complementarios en la calle Hidalgo de las vías a Ejido y de la calle Ejido de Hidalgo a Manuel García, en la localidad La Venta del Astillero, municipio de Zapopan, Jalisco.</v>
          </cell>
          <cell r="AD378">
            <v>43185</v>
          </cell>
          <cell r="AE378">
            <v>43281</v>
          </cell>
        </row>
        <row r="379">
          <cell r="C379" t="str">
            <v>DOPI-MUN-RM-APDS-AD-133-2018</v>
          </cell>
          <cell r="M379" t="str">
            <v>MELESIO</v>
          </cell>
          <cell r="N379" t="str">
            <v>HERNÁNDEZ</v>
          </cell>
          <cell r="O379" t="str">
            <v>MARTÍNEZ</v>
          </cell>
          <cell r="Q379" t="str">
            <v>CVI980213UM6</v>
          </cell>
          <cell r="V379">
            <v>43187</v>
          </cell>
          <cell r="AA379" t="str">
            <v>Sustitución de línea de agua potable y obra complementaria de la red de drenaje sanitario en las calles Quirino Rivera y Daniel Macías, colonia Villa de Guadalupe, municipio de Zapopan, Jalisco.</v>
          </cell>
          <cell r="AD379">
            <v>43192</v>
          </cell>
          <cell r="AE379">
            <v>43235</v>
          </cell>
        </row>
        <row r="380">
          <cell r="C380" t="str">
            <v>DOPI-MUN-RM-ELE-AD-134-2018</v>
          </cell>
          <cell r="M380" t="str">
            <v>ARMANDO</v>
          </cell>
          <cell r="N380" t="str">
            <v>ARROYO</v>
          </cell>
          <cell r="O380" t="str">
            <v>ZEPEDA</v>
          </cell>
          <cell r="Q380" t="str">
            <v>CEI000807E95</v>
          </cell>
          <cell r="V380">
            <v>43203</v>
          </cell>
          <cell r="AA380" t="str">
            <v>Red de electrificación de media tensión para el cárcamo de bombeo de aguas residuales ubicado en la colonia Lomas del Centinela, municipio de Zapopan, Jalisco.</v>
          </cell>
          <cell r="AD380">
            <v>43206</v>
          </cell>
          <cell r="AE380">
            <v>43235</v>
          </cell>
        </row>
        <row r="381">
          <cell r="C381" t="str">
            <v>DOPI-MUN-RM-APDS-AD-135-2018</v>
          </cell>
          <cell r="M381" t="str">
            <v>J. GERARDO</v>
          </cell>
          <cell r="N381" t="str">
            <v>NICANOR</v>
          </cell>
          <cell r="O381" t="str">
            <v>MEJIA MARISCAL</v>
          </cell>
          <cell r="Q381" t="str">
            <v>ICO980722MQ4</v>
          </cell>
          <cell r="V381">
            <v>43175</v>
          </cell>
          <cell r="AA381" t="str">
            <v>Construcción de línea de agua potable, drenaje sanitario y subestructura de pavimento en la Av. Palmira de Jazmin a Agua Azul, colonia La Palmira, municipio de Zapopan, Jalisco</v>
          </cell>
          <cell r="AD381">
            <v>43178</v>
          </cell>
          <cell r="AE381">
            <v>43251</v>
          </cell>
        </row>
        <row r="382">
          <cell r="C382" t="str">
            <v>DOPI-MUN-RM-SERV-BACHEO-AD-136-2018</v>
          </cell>
          <cell r="M382" t="str">
            <v>OMAR ALFREDO</v>
          </cell>
          <cell r="N382" t="str">
            <v>MARTÍNEZ</v>
          </cell>
          <cell r="O382" t="str">
            <v>GÓMEZ</v>
          </cell>
          <cell r="Q382" t="str">
            <v>IMS060720JX9</v>
          </cell>
          <cell r="V382">
            <v>43187</v>
          </cell>
          <cell r="AA382" t="str">
            <v>Control de calidad y muesteo de mezclas asfalticas en pavimentos para los trabajos de bacheo y calafateo 2018, municipio de Zapopan, Jalisco.</v>
          </cell>
          <cell r="AD382">
            <v>43192</v>
          </cell>
          <cell r="AE382">
            <v>43281</v>
          </cell>
        </row>
        <row r="383">
          <cell r="C383" t="str">
            <v>DOPI-MUN-RM-DS-AD-137-2018</v>
          </cell>
          <cell r="M383" t="str">
            <v>RAFAEL AUGUSTO</v>
          </cell>
          <cell r="N383" t="str">
            <v>CABALLERO</v>
          </cell>
          <cell r="O383" t="str">
            <v>QUIRARTE</v>
          </cell>
          <cell r="Q383" t="str">
            <v>PAT110331HH0</v>
          </cell>
          <cell r="V383">
            <v>43203</v>
          </cell>
          <cell r="AA383" t="str">
            <v>Obra complementaria para la terminación de red de drenaje sanitario en la calle Vista al Mirador de Puesta del Sol a Vista la Campiña, en la colonia Vista Hermosa, municipio de Zapopan, Jalisco.</v>
          </cell>
          <cell r="AD383">
            <v>43206</v>
          </cell>
          <cell r="AE383">
            <v>43235</v>
          </cell>
        </row>
        <row r="384">
          <cell r="C384" t="str">
            <v>DOPI-MUN-RM-IH-AD-138-2018</v>
          </cell>
          <cell r="M384" t="str">
            <v>JOSÉ DE JESÚS</v>
          </cell>
          <cell r="N384" t="str">
            <v>CÁRDENAS</v>
          </cell>
          <cell r="O384" t="str">
            <v xml:space="preserve">SOLÍS </v>
          </cell>
          <cell r="Q384" t="str">
            <v>CCE170517HW2</v>
          </cell>
          <cell r="V384">
            <v>43220</v>
          </cell>
          <cell r="AA384" t="str">
            <v>Construcción de bocas de tormenta, empedrado zampeado para protección de taludes de puentes peatonales, instalación de puente peatonal y obras complementarias en la calle Pinos entre Periodistas y Jacarandas, colonia El Centinela, municipio de Zapopan, Jalisco.</v>
          </cell>
          <cell r="AD384">
            <v>43222</v>
          </cell>
          <cell r="AE384">
            <v>43266</v>
          </cell>
        </row>
        <row r="385">
          <cell r="C385" t="str">
            <v>DOPI-MUN-RM-IH-AD-139-2018</v>
          </cell>
          <cell r="M385" t="str">
            <v>JUAN RAMÓN</v>
          </cell>
          <cell r="N385" t="str">
            <v>RAMÍREZ</v>
          </cell>
          <cell r="O385" t="str">
            <v>ALATORRE</v>
          </cell>
          <cell r="Q385" t="str">
            <v>QGE080213988</v>
          </cell>
          <cell r="V385">
            <v>43220</v>
          </cell>
          <cell r="AA385" t="str">
            <v>Construcción de colector pluvial y boca de tormenta en Av. Pirul, Privada Pirul, Calle Naranjos y Misión del Bajío, colonia Rancho El Centinela, municipio de Zapopan, Jalisco.</v>
          </cell>
          <cell r="AD385">
            <v>43222</v>
          </cell>
          <cell r="AE385">
            <v>43257</v>
          </cell>
        </row>
        <row r="386">
          <cell r="C386" t="str">
            <v>DOPI-MUN-RM-IH-AD-140-2018</v>
          </cell>
          <cell r="M386" t="str">
            <v xml:space="preserve">RODOLFO </v>
          </cell>
          <cell r="N386" t="str">
            <v xml:space="preserve">VELAZQUEZ </v>
          </cell>
          <cell r="O386" t="str">
            <v>ORDOÑEZ</v>
          </cell>
          <cell r="Q386" t="str">
            <v>VIE110125RL4</v>
          </cell>
          <cell r="V386">
            <v>43220</v>
          </cell>
          <cell r="AA386" t="str">
            <v>Rehabilitación de drenaje y agua potable en la calle Santa Mercedes, de San Carlos a San Felipe, en la colonia Tuzania Ejidal, municipio de Zapopan, Jalisco.</v>
          </cell>
          <cell r="AD386">
            <v>43222</v>
          </cell>
          <cell r="AE386">
            <v>43281</v>
          </cell>
        </row>
        <row r="387">
          <cell r="C387" t="str">
            <v>DOPI-MUN-R33-IH-AD-141-2018</v>
          </cell>
          <cell r="M387" t="str">
            <v>FREDDY ISAAC</v>
          </cell>
          <cell r="N387" t="str">
            <v>MIRANDA</v>
          </cell>
          <cell r="O387" t="str">
            <v>HERNÁNDEZ</v>
          </cell>
          <cell r="Q387" t="str">
            <v>MCO17080484A</v>
          </cell>
          <cell r="V387">
            <v>43231</v>
          </cell>
          <cell r="AA387" t="str">
            <v>Rehabilitación de líneas de agua potable y drenaje en la colonia Indígena de Mezquitan 1° Sección, municipio de Zapopan, Jalisco.</v>
          </cell>
          <cell r="AD387">
            <v>43234</v>
          </cell>
          <cell r="AE387">
            <v>43312</v>
          </cell>
        </row>
        <row r="388">
          <cell r="C388" t="str">
            <v>DOPI-MUN-RM-IH-AD-151-2018</v>
          </cell>
          <cell r="M388" t="str">
            <v>SERGIO CESAR</v>
          </cell>
          <cell r="N388" t="str">
            <v>DÍAZ</v>
          </cell>
          <cell r="O388" t="str">
            <v>QUIROZ</v>
          </cell>
          <cell r="Q388" t="str">
            <v>GUN880613NY1</v>
          </cell>
          <cell r="V388">
            <v>43231</v>
          </cell>
          <cell r="AA388" t="str">
            <v>Construcción de drenaje sanitario y red de agua potable en la Av. General Ramón Corona, en la zona de La Mojonera, municipio de Zapopan, Jalisco.</v>
          </cell>
          <cell r="AD388">
            <v>43234</v>
          </cell>
          <cell r="AE388">
            <v>43266</v>
          </cell>
        </row>
        <row r="389">
          <cell r="C389" t="str">
            <v>DOPI-MUN-RM-PAV-AD-152-2018</v>
          </cell>
          <cell r="M389" t="str">
            <v>LAURA LILIA</v>
          </cell>
          <cell r="N389" t="str">
            <v>ARELLANO</v>
          </cell>
          <cell r="O389" t="str">
            <v>CERNA</v>
          </cell>
          <cell r="Q389" t="str">
            <v>CEI120724PR2</v>
          </cell>
          <cell r="V389">
            <v>43231</v>
          </cell>
          <cell r="AA389" t="str">
            <v>Pavimentación con concreto hidráulico, incluye: banquetas, peatonalización, red de drenaje sanitario, señalamiento y obras complementarias en la calle Santa Mercedez de la Av. Jesús a San Felipe, colonia Tuzania Ejidal, en el municipio de Zapopan, Jalisco, frente 2.</v>
          </cell>
          <cell r="AD389">
            <v>43235</v>
          </cell>
          <cell r="AE389">
            <v>43296</v>
          </cell>
        </row>
        <row r="390">
          <cell r="C390" t="str">
            <v>DOPI-MUN-RM-BAN-AD-153-2018</v>
          </cell>
          <cell r="M390" t="str">
            <v>JOSÉ ANTONIO</v>
          </cell>
          <cell r="N390" t="str">
            <v>CISNEROS</v>
          </cell>
          <cell r="O390" t="str">
            <v>CASTILLO</v>
          </cell>
          <cell r="Q390" t="str">
            <v>APE111122MI0</v>
          </cell>
          <cell r="V390">
            <v>43224</v>
          </cell>
          <cell r="AA390" t="str">
            <v xml:space="preserve">Peatonalización, construcción de banquetas, bolardos, jardinería, señalética y servicios complementarios en la calle Ocampo de Av. Aviación a calle Independencia, en la localidad de San Juan de Ocotan, municipio de Zapopan, Jalisco.  </v>
          </cell>
          <cell r="AD390">
            <v>43227</v>
          </cell>
          <cell r="AE390">
            <v>43266</v>
          </cell>
        </row>
        <row r="391">
          <cell r="C391" t="str">
            <v>DOPI-MUN-RM-CALAFATEO-AD-154-2018</v>
          </cell>
          <cell r="M391" t="str">
            <v>LUIS MIGUEL</v>
          </cell>
          <cell r="N391" t="str">
            <v>TORRES</v>
          </cell>
          <cell r="O391" t="str">
            <v>DÍAZ BARRIGA</v>
          </cell>
          <cell r="Q391" t="str">
            <v>ADA040607DY7</v>
          </cell>
          <cell r="V391">
            <v>43231</v>
          </cell>
          <cell r="AA391" t="str">
            <v>Calafateo en juntas de pavimentos hidráulicos con sellador asfaltico en vialidades, en la Av. General Ramón Corona, municipio de Zapopan, Jalisco.</v>
          </cell>
          <cell r="AD391">
            <v>43235</v>
          </cell>
          <cell r="AE391">
            <v>43266</v>
          </cell>
        </row>
        <row r="392">
          <cell r="C392" t="str">
            <v>DOPI-MUN-RM-PAV-AD-155-2018</v>
          </cell>
          <cell r="M392" t="str">
            <v>CARLOS ALBERTO</v>
          </cell>
          <cell r="N392" t="str">
            <v>VALENCIA</v>
          </cell>
          <cell r="O392" t="str">
            <v>MENCHACA</v>
          </cell>
          <cell r="Q392" t="str">
            <v>CAU980304DC0</v>
          </cell>
          <cell r="V392">
            <v>43231</v>
          </cell>
          <cell r="AA392" t="str">
            <v>Obra complementaria para la terminación de la construcción de la calle Deli con concreto hidráulico de calle Ozomatli a calle Acatl, en la colonia Mesa Colorada, municipio de Zapopan, Jalisco.</v>
          </cell>
          <cell r="AD392">
            <v>43234</v>
          </cell>
          <cell r="AE392">
            <v>43281</v>
          </cell>
        </row>
        <row r="393">
          <cell r="C393" t="str">
            <v>DOPI-MUN-R33-ELE-AD-156-2018</v>
          </cell>
          <cell r="M393" t="str">
            <v>ARMANDO</v>
          </cell>
          <cell r="N393" t="str">
            <v>ARROYO</v>
          </cell>
          <cell r="O393" t="str">
            <v>ZEPEDA</v>
          </cell>
          <cell r="Q393" t="str">
            <v>CUP160122E20</v>
          </cell>
          <cell r="V393">
            <v>43241</v>
          </cell>
          <cell r="AA393" t="str">
            <v>Red de electrificación en la colonia Jardines de Santa Ana, municipio de Zapopan, Jalisco.</v>
          </cell>
          <cell r="AD393">
            <v>43242</v>
          </cell>
          <cell r="AE393">
            <v>43296</v>
          </cell>
        </row>
        <row r="394">
          <cell r="C394" t="str">
            <v>DOPI-MUN-RM-IM-AD-158-2018</v>
          </cell>
          <cell r="M394" t="str">
            <v xml:space="preserve">EDUARDO </v>
          </cell>
          <cell r="N394" t="str">
            <v>ROMERO</v>
          </cell>
          <cell r="O394" t="str">
            <v>LUGO</v>
          </cell>
          <cell r="Q394" t="str">
            <v>ROS120904PV9</v>
          </cell>
          <cell r="V394">
            <v>43234</v>
          </cell>
          <cell r="AA394" t="str">
            <v>Construcción de cimentación, apoyos y rampas de acceso para la reubicación de puente peatonal, ubicado sobre carretera Guadalajara - Nogales, colonia Rancho Contento, municipio de Zapopan, Jalisco.</v>
          </cell>
          <cell r="AD394">
            <v>43234</v>
          </cell>
          <cell r="AE394">
            <v>43281</v>
          </cell>
        </row>
        <row r="395">
          <cell r="C395" t="str">
            <v>DOPI-MUN-RM-ELE-AD-159-2018</v>
          </cell>
          <cell r="M395" t="str">
            <v>ARMANDO</v>
          </cell>
          <cell r="N395" t="str">
            <v>ARROYO</v>
          </cell>
          <cell r="O395" t="str">
            <v>ZEPEDA</v>
          </cell>
          <cell r="Q395" t="str">
            <v>CEI000807E95</v>
          </cell>
          <cell r="V395">
            <v>43241</v>
          </cell>
          <cell r="AA395" t="str">
            <v>Red de electrificación y alumbrado público en la colonia Jardines de los Alamos, municipio de Zapopan, Jalisco.</v>
          </cell>
          <cell r="AD395">
            <v>43242</v>
          </cell>
          <cell r="AE395">
            <v>43296</v>
          </cell>
        </row>
        <row r="396">
          <cell r="C396" t="str">
            <v>DOPI-MUN-RM-IM-AD-160-2018</v>
          </cell>
          <cell r="M396" t="str">
            <v>CLAUDIO FELIPE</v>
          </cell>
          <cell r="N396" t="str">
            <v>TRUJILLO</v>
          </cell>
          <cell r="O396" t="str">
            <v>GRACIAN</v>
          </cell>
          <cell r="Q396" t="str">
            <v>DLU100818F46</v>
          </cell>
          <cell r="V396">
            <v>43248</v>
          </cell>
          <cell r="AA396" t="str">
            <v>Reforzamiento y ampliación de estructura de puente peatonal, ubicado sobre carretera Guadalajara - Nogales, colonia Rancho Contento, municipio de Zapopan, Jalisco.</v>
          </cell>
          <cell r="AD396">
            <v>43248</v>
          </cell>
          <cell r="AE396">
            <v>43296</v>
          </cell>
        </row>
        <row r="397">
          <cell r="C397" t="str">
            <v>DOPI-MUN-RM-AP-AD-161-2018</v>
          </cell>
          <cell r="M397" t="str">
            <v>JORGE ALFREDO</v>
          </cell>
          <cell r="N397" t="str">
            <v>OCHOA</v>
          </cell>
          <cell r="O397" t="str">
            <v>GONZÁLEZ</v>
          </cell>
          <cell r="Q397" t="str">
            <v>AED890925181</v>
          </cell>
          <cell r="V397">
            <v>43234</v>
          </cell>
          <cell r="AA397" t="str">
            <v>Construcción de bocas de tormenta y pozos de absorción en la Av. General Ramón Corona, en la zona de La Mojonera, municipio de Zapopan, Jalisco, frente 2.</v>
          </cell>
          <cell r="AD397">
            <v>43234</v>
          </cell>
          <cell r="AE397">
            <v>43281</v>
          </cell>
        </row>
        <row r="398">
          <cell r="C398" t="str">
            <v>DOPI-MUN-RM-MOV-AD-163-2018</v>
          </cell>
          <cell r="M398" t="str">
            <v>JOSÉ ANTONIO</v>
          </cell>
          <cell r="N398" t="str">
            <v>CUEVAS</v>
          </cell>
          <cell r="O398" t="str">
            <v>BRISEÑO</v>
          </cell>
          <cell r="Q398" t="str">
            <v>CUBA5705179V8</v>
          </cell>
          <cell r="V398">
            <v>43248</v>
          </cell>
          <cell r="AA398" t="str">
            <v>Construcción de ciclovía y señalamiento sobre el carril sur de la Av. General Ramón Corona, municipio de Zapopan, Jalisco.</v>
          </cell>
          <cell r="AD398">
            <v>43248</v>
          </cell>
          <cell r="AE398">
            <v>43296</v>
          </cell>
        </row>
        <row r="399">
          <cell r="C399" t="str">
            <v>DOPI-MUN-RM-MOV-AD-164-2018</v>
          </cell>
          <cell r="M399" t="str">
            <v>ÁNGEL SALOMÓN</v>
          </cell>
          <cell r="N399" t="str">
            <v>RINCÓN</v>
          </cell>
          <cell r="O399" t="str">
            <v>DE LA ROSA</v>
          </cell>
          <cell r="Q399" t="str">
            <v>AAR120507VA9</v>
          </cell>
          <cell r="V399">
            <v>43248</v>
          </cell>
          <cell r="AA399" t="str">
            <v>Señalamiento horizontal y vertical en la calle Independencia, colonia Santa María del Pueblito, municipio de Zapopan, Jalisco.</v>
          </cell>
          <cell r="AD399">
            <v>43248</v>
          </cell>
          <cell r="AE399">
            <v>43266</v>
          </cell>
        </row>
        <row r="400">
          <cell r="C400" t="str">
            <v>DOPI-MUN-RM-BAN-AD-165-2018</v>
          </cell>
          <cell r="M400" t="str">
            <v>OMAR</v>
          </cell>
          <cell r="N400" t="str">
            <v>MORA</v>
          </cell>
          <cell r="O400" t="str">
            <v>MONTES DE OCA</v>
          </cell>
          <cell r="Q400" t="str">
            <v>DCO130215C16</v>
          </cell>
          <cell r="V400">
            <v>43241</v>
          </cell>
          <cell r="AA400" t="str">
            <v xml:space="preserve">Peatonalización, construcción de banquetas, bolardos, jardinería y guarniciones en los cruces de la Av. Arco del Triunfo con las calles Arco Pertinax y Arco Valente en la colonia Arcos de Zapopan, municipio de Zapopan, Jalisco.  </v>
          </cell>
          <cell r="AD400">
            <v>43241</v>
          </cell>
          <cell r="AE400">
            <v>43281</v>
          </cell>
        </row>
        <row r="401">
          <cell r="C401" t="str">
            <v>DOPI-MUN-RM-EST-AD-166-2018</v>
          </cell>
          <cell r="M401" t="str">
            <v>SERGIO ALEJANDRO</v>
          </cell>
          <cell r="N401" t="str">
            <v>LARIOS</v>
          </cell>
          <cell r="O401" t="str">
            <v>VIRGEN</v>
          </cell>
          <cell r="Q401" t="str">
            <v>EPS040708MA2</v>
          </cell>
          <cell r="V401">
            <v>43241</v>
          </cell>
          <cell r="AA401" t="str">
            <v>Elaboración de estudio de ingeniería de tránsito en vialidades que comprenden el polígono entre las Av. Servidor Público, Paseo Valle Real, Av. Santa Margarita y Periférico Manuel Gómez Morín, municipio de Zapopan, Jalisco.</v>
          </cell>
          <cell r="AD401">
            <v>43242</v>
          </cell>
          <cell r="AE401">
            <v>43312</v>
          </cell>
        </row>
        <row r="402">
          <cell r="C402" t="str">
            <v>DOPI-MUN-RM-MOV-AD-167-2018</v>
          </cell>
          <cell r="M402" t="str">
            <v>J. JESÚS</v>
          </cell>
          <cell r="N402" t="str">
            <v>CONTRERAS</v>
          </cell>
          <cell r="O402" t="str">
            <v>VILLANUEVA</v>
          </cell>
          <cell r="Q402" t="str">
            <v>CCO0404226D8</v>
          </cell>
          <cell r="V402">
            <v>43241</v>
          </cell>
          <cell r="AA402" t="str">
            <v>Construcción de reductores de velocidad, señalamiento y peatonalización en la calle 2 y calle 5, en la colonia Seattle, municipio de Zapopan, Jalisco.</v>
          </cell>
          <cell r="AD402">
            <v>43241</v>
          </cell>
          <cell r="AE402">
            <v>43281</v>
          </cell>
        </row>
      </sheetData>
      <sheetData sheetId="2" refreshError="1">
        <row r="23">
          <cell r="AG23">
            <v>4256046.82</v>
          </cell>
          <cell r="AL23" t="str">
            <v>Construcción de muro mecánicamente estabilizado (obra complementaria) para conexión al retorno vial a Periférico Norte y Av Juan Palomar y Arias, municipio de Zapopan, Jalisco.</v>
          </cell>
          <cell r="AS23" t="str">
            <v>Col. Parque Industrial Belenes</v>
          </cell>
        </row>
        <row r="24">
          <cell r="AL24" t="str">
            <v>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v>
          </cell>
          <cell r="AS24" t="str">
            <v>Col. El Campanario</v>
          </cell>
        </row>
        <row r="25">
          <cell r="AL25" t="str">
            <v>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v>
          </cell>
          <cell r="AS25" t="str">
            <v>Localidad Santa Lucía</v>
          </cell>
        </row>
        <row r="26">
          <cell r="AL26" t="str">
            <v>Construcción de la red de agua potable y de drenaje sanitario en la carretera La Venta del Astillero - Santa Lucia, en la colonia La Soledad, localidad de Nextipac, municipio de Zapopan, Jalisco</v>
          </cell>
          <cell r="AS26" t="str">
            <v>Localidad de Nextipac</v>
          </cell>
        </row>
        <row r="27">
          <cell r="AL27" t="str">
            <v>Construcción de líneas de drenaje sanitario y de agua potable, subrasante y base hidráulica en la calle Cesario Rivera desde la carreta a Saltillo a la calle Jacinto González Peña, en la colonia Villas de Guadalupe, municipio de Zapopan, Jalisco.</v>
          </cell>
          <cell r="AS27" t="str">
            <v>Col. Villas de Guadalupe</v>
          </cell>
        </row>
        <row r="28">
          <cell r="AL28" t="str">
            <v>Construcción de líneas de drenaje sanitario y de agua potable, subrasante y base hidráulica en la calle Idolina Gaona entre Decima Oriente y Cuarta Oriente  en la colonia Jardines de Nuevo México, municipio de Zapopan, Jalisco.</v>
          </cell>
          <cell r="AS28" t="str">
            <v>Col. Jardines de Nuevo México</v>
          </cell>
        </row>
        <row r="29">
          <cell r="D29" t="str">
            <v>DOPI-MUN-PP-PAV-LP-050-2016</v>
          </cell>
          <cell r="T29" t="str">
            <v>Julio Eduardo</v>
          </cell>
          <cell r="U29" t="str">
            <v>Lopez</v>
          </cell>
          <cell r="V29" t="str">
            <v>Perez</v>
          </cell>
          <cell r="X29" t="str">
            <v>PEI020208RW0</v>
          </cell>
          <cell r="AD29">
            <v>42593</v>
          </cell>
          <cell r="AL29" t="str">
            <v>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v>
          </cell>
          <cell r="AM29">
            <v>42614</v>
          </cell>
          <cell r="AN29">
            <v>42735</v>
          </cell>
          <cell r="AS29" t="str">
            <v>Tesitán</v>
          </cell>
        </row>
        <row r="30">
          <cell r="D30" t="str">
            <v>DOPI-MUN-PP-PAV-LP-051-2016</v>
          </cell>
          <cell r="T30" t="str">
            <v xml:space="preserve">Cesar Agustin </v>
          </cell>
          <cell r="U30" t="str">
            <v>Salgado</v>
          </cell>
          <cell r="V30" t="str">
            <v>Santiago</v>
          </cell>
          <cell r="X30" t="str">
            <v>FRA070416K99</v>
          </cell>
          <cell r="AD30">
            <v>42600</v>
          </cell>
          <cell r="AL30" t="str">
            <v>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v>
          </cell>
          <cell r="AM30">
            <v>42614</v>
          </cell>
          <cell r="AN30">
            <v>42735</v>
          </cell>
          <cell r="AS30" t="str">
            <v>Tesitán</v>
          </cell>
        </row>
        <row r="31">
          <cell r="D31" t="str">
            <v>DOPI-MUN-PP-PAV-LP-052-2016</v>
          </cell>
          <cell r="T31" t="str">
            <v>Jose Antonio</v>
          </cell>
          <cell r="U31" t="str">
            <v>Alvarez</v>
          </cell>
          <cell r="V31" t="str">
            <v>Zuloaga</v>
          </cell>
          <cell r="X31" t="str">
            <v>GDA150928286</v>
          </cell>
          <cell r="AD31">
            <v>42601</v>
          </cell>
          <cell r="AL31" t="str">
            <v>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v>
          </cell>
          <cell r="AM31">
            <v>42614</v>
          </cell>
          <cell r="AN31">
            <v>42735</v>
          </cell>
          <cell r="AS31" t="str">
            <v>Tesitán</v>
          </cell>
        </row>
        <row r="32">
          <cell r="D32" t="str">
            <v>DOPI-MUN-PP-PAV-LP-053-2016</v>
          </cell>
          <cell r="T32" t="str">
            <v>Guadalupe Alejandrina</v>
          </cell>
          <cell r="U32" t="str">
            <v>Maldonado</v>
          </cell>
          <cell r="V32" t="str">
            <v>Lara</v>
          </cell>
          <cell r="X32" t="str">
            <v>LAE1306263B5</v>
          </cell>
          <cell r="AD32">
            <v>42604</v>
          </cell>
          <cell r="AL32" t="str">
            <v>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v>
          </cell>
          <cell r="AM32">
            <v>42614</v>
          </cell>
          <cell r="AN32">
            <v>42705</v>
          </cell>
          <cell r="AS32" t="str">
            <v>Tesitán</v>
          </cell>
        </row>
        <row r="33">
          <cell r="D33" t="str">
            <v>DOPI-MUN-PP-PAV-LP-054-2016</v>
          </cell>
          <cell r="T33" t="str">
            <v>Clarissa Gabriela</v>
          </cell>
          <cell r="U33" t="str">
            <v>Valdez</v>
          </cell>
          <cell r="V33" t="str">
            <v>Manjarrez</v>
          </cell>
          <cell r="X33" t="str">
            <v>TGE101215JI6</v>
          </cell>
          <cell r="AD33">
            <v>42605</v>
          </cell>
          <cell r="AL33" t="str">
            <v>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v>
          </cell>
          <cell r="AM33">
            <v>42614</v>
          </cell>
          <cell r="AN33">
            <v>42705</v>
          </cell>
          <cell r="AS33" t="str">
            <v>Tesitán</v>
          </cell>
        </row>
        <row r="34">
          <cell r="D34" t="str">
            <v>DOPI-MUN-PP-PAV-LP-055-2016</v>
          </cell>
          <cell r="T34" t="str">
            <v>Raul</v>
          </cell>
          <cell r="U34" t="str">
            <v xml:space="preserve">Ortega </v>
          </cell>
          <cell r="V34" t="str">
            <v>Jara</v>
          </cell>
          <cell r="X34" t="str">
            <v>CAN030528ME0</v>
          </cell>
          <cell r="AD34">
            <v>42605</v>
          </cell>
          <cell r="AL34" t="str">
            <v>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v>
          </cell>
          <cell r="AM34">
            <v>42614</v>
          </cell>
          <cell r="AN34">
            <v>42705</v>
          </cell>
          <cell r="AS34" t="str">
            <v>Tesitán</v>
          </cell>
        </row>
        <row r="35">
          <cell r="D35" t="str">
            <v>DOPI-MUN-PP-PAV-LP-056-2016</v>
          </cell>
          <cell r="T35" t="str">
            <v>Carlos Ignacio</v>
          </cell>
          <cell r="U35" t="str">
            <v>Curiel</v>
          </cell>
          <cell r="V35" t="str">
            <v>Dueñas</v>
          </cell>
          <cell r="X35" t="str">
            <v>CCE130723IR7</v>
          </cell>
          <cell r="AD35">
            <v>42591</v>
          </cell>
          <cell r="AL35" t="str">
            <v>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v>
          </cell>
          <cell r="AM35">
            <v>42592</v>
          </cell>
          <cell r="AN35">
            <v>42713</v>
          </cell>
          <cell r="AS35" t="str">
            <v>Colonia Arenales Tapatios</v>
          </cell>
        </row>
        <row r="36">
          <cell r="D36" t="str">
            <v>DOPI-MUN-PP-PAV-LP-057-2016</v>
          </cell>
          <cell r="T36" t="str">
            <v>Sergio Cesar</v>
          </cell>
          <cell r="U36" t="str">
            <v>Diaz</v>
          </cell>
          <cell r="V36" t="str">
            <v>Quiroz</v>
          </cell>
          <cell r="X36" t="str">
            <v>TRA750528286</v>
          </cell>
          <cell r="AD36">
            <v>42591</v>
          </cell>
          <cell r="AL36" t="str">
            <v>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v>
          </cell>
          <cell r="AM36">
            <v>42592</v>
          </cell>
          <cell r="AN36">
            <v>42713</v>
          </cell>
          <cell r="AS36" t="str">
            <v>Colonia Arenales Tapatios</v>
          </cell>
        </row>
        <row r="37">
          <cell r="D37" t="str">
            <v>DOPI-MUN-PP-PAV-LP-058-2016</v>
          </cell>
          <cell r="T37" t="str">
            <v>Enrique Christian</v>
          </cell>
          <cell r="U37" t="str">
            <v>Anshiro Minakata</v>
          </cell>
          <cell r="V37" t="str">
            <v>Morentin</v>
          </cell>
          <cell r="X37" t="str">
            <v>CMI110222AA0</v>
          </cell>
          <cell r="AD37">
            <v>42591</v>
          </cell>
          <cell r="AL37" t="str">
            <v>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v>
          </cell>
          <cell r="AM37">
            <v>42592</v>
          </cell>
          <cell r="AN37">
            <v>42683</v>
          </cell>
          <cell r="AS37" t="str">
            <v>Tesitán</v>
          </cell>
        </row>
        <row r="38">
          <cell r="D38" t="str">
            <v>DOPI-MUN-PP-PAV-LP-059-2016</v>
          </cell>
          <cell r="T38" t="str">
            <v>Rodrigo</v>
          </cell>
          <cell r="U38" t="str">
            <v>Ramos</v>
          </cell>
          <cell r="V38" t="str">
            <v>Garibi</v>
          </cell>
          <cell r="X38" t="str">
            <v>CMA070307RU6</v>
          </cell>
          <cell r="AD38">
            <v>42591</v>
          </cell>
          <cell r="AL38" t="str">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v>
          </cell>
          <cell r="AM38">
            <v>42592</v>
          </cell>
          <cell r="AN38">
            <v>42713</v>
          </cell>
          <cell r="AS38" t="str">
            <v>Colonia Valle de Atemajac</v>
          </cell>
        </row>
        <row r="39">
          <cell r="D39" t="str">
            <v>DOPI-MUN-PP-PAV-LP-060-2016</v>
          </cell>
          <cell r="T39" t="str">
            <v>Ignacio Javier</v>
          </cell>
          <cell r="U39" t="str">
            <v>Curiel</v>
          </cell>
          <cell r="V39" t="str">
            <v>Dueñas</v>
          </cell>
          <cell r="X39" t="str">
            <v>TCM100915HA1</v>
          </cell>
          <cell r="AD39">
            <v>42591</v>
          </cell>
          <cell r="AL39" t="str">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v>
          </cell>
          <cell r="AM39">
            <v>42592</v>
          </cell>
          <cell r="AN39">
            <v>42683</v>
          </cell>
          <cell r="AS39" t="str">
            <v>Colonia Girasoles Acueducto</v>
          </cell>
        </row>
        <row r="40">
          <cell r="D40" t="str">
            <v>DOPI-MUN-PP-PAV-LP-061-2016</v>
          </cell>
          <cell r="T40" t="str">
            <v>Ignacio Javier</v>
          </cell>
          <cell r="U40" t="str">
            <v>Curiel</v>
          </cell>
          <cell r="V40" t="str">
            <v>Dueñas</v>
          </cell>
          <cell r="X40" t="str">
            <v>TCM100915HA1</v>
          </cell>
          <cell r="AD40">
            <v>42591</v>
          </cell>
          <cell r="AL40" t="str">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v>
          </cell>
          <cell r="AM40">
            <v>42592</v>
          </cell>
          <cell r="AN40">
            <v>42683</v>
          </cell>
          <cell r="AS40" t="str">
            <v>Colonia Las Bóvedas</v>
          </cell>
        </row>
        <row r="41">
          <cell r="D41" t="str">
            <v>DOPI-MUN-MA-PAV-LP-062-2016</v>
          </cell>
          <cell r="T41" t="str">
            <v>José Manuel</v>
          </cell>
          <cell r="U41" t="str">
            <v>Gómez</v>
          </cell>
          <cell r="V41" t="str">
            <v>Castellanos</v>
          </cell>
          <cell r="X41" t="str">
            <v>GDI020122D2A</v>
          </cell>
          <cell r="AD41">
            <v>42632</v>
          </cell>
          <cell r="AL41" t="str">
            <v>Rehabilitación de la pavimentación de la Av. López Mateos Sur de Periférico Sur a Av. Copérnico (carriles centrales se sustituyen con concreto hidráulico).</v>
          </cell>
          <cell r="AM41">
            <v>42632</v>
          </cell>
          <cell r="AN41">
            <v>42768</v>
          </cell>
        </row>
        <row r="42">
          <cell r="D42" t="str">
            <v>DOPI-MUN-MA-PAV-LP-063-2016</v>
          </cell>
          <cell r="T42" t="str">
            <v>Diego</v>
          </cell>
          <cell r="U42" t="str">
            <v>Valenzuela</v>
          </cell>
          <cell r="V42" t="str">
            <v>Cadena</v>
          </cell>
          <cell r="X42" t="str">
            <v>FAC010607TI0</v>
          </cell>
          <cell r="AD42">
            <v>42632</v>
          </cell>
          <cell r="AL42" t="str">
            <v>Rehabilitación y mantenimiento de pavimentos de vialidades (reencarpetamiento, sellado, sustitución de lozas dañadas, calafateo y señalamiento horizontal) en diferentes colonias del municipio.</v>
          </cell>
          <cell r="AM42">
            <v>42632</v>
          </cell>
          <cell r="AN42">
            <v>42768</v>
          </cell>
        </row>
        <row r="43">
          <cell r="D43" t="str">
            <v>DOPI-MUN-AMP-PAV-LP-064-2016</v>
          </cell>
          <cell r="T43" t="str">
            <v>Rodrigo</v>
          </cell>
          <cell r="U43" t="str">
            <v>Ramos</v>
          </cell>
          <cell r="V43" t="str">
            <v>Garibi</v>
          </cell>
          <cell r="X43" t="str">
            <v>CMA070307RU6</v>
          </cell>
          <cell r="AD43">
            <v>42591</v>
          </cell>
          <cell r="AL43" t="str">
            <v>Reencarpetamiento de la vialidad, desbastado de la carpeta existente, nivelación de pozos de visita, cajas de válvulas, rejillas pluviales, bocas de tormenta y elementos estructurales que sobresalen de la rasante de la vialidad, calafateos, señalética horizontal en la Av. Juan Gil Preciado (carriles centrales), de carretera a Colotlán a Tesistán, municipio de Zapopan, Jalisco.</v>
          </cell>
          <cell r="AM43">
            <v>42592</v>
          </cell>
          <cell r="AN43">
            <v>42666</v>
          </cell>
          <cell r="AS43" t="str">
            <v>Colonia Nuevo México</v>
          </cell>
        </row>
        <row r="44">
          <cell r="D44" t="str">
            <v>DOPI-MUN-AMP-PAV-LP-065-2016</v>
          </cell>
          <cell r="T44" t="str">
            <v>Jose Luis</v>
          </cell>
          <cell r="U44" t="str">
            <v>Brenez</v>
          </cell>
          <cell r="V44" t="str">
            <v>Moreno</v>
          </cell>
          <cell r="X44" t="str">
            <v>BCO900423GC5</v>
          </cell>
          <cell r="AD44">
            <v>42592</v>
          </cell>
          <cell r="AL44" t="str">
            <v>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laterales), de carretera a Colotlán a Tesistán, municipio de Zapopan, Jalisco.</v>
          </cell>
          <cell r="AM44">
            <v>42592</v>
          </cell>
          <cell r="AN44">
            <v>42683</v>
          </cell>
          <cell r="AS44" t="str">
            <v>Colonia Nuevo México</v>
          </cell>
        </row>
        <row r="45">
          <cell r="D45" t="str">
            <v>DOPI-MUN-AMP-PAV-LP-066-2016</v>
          </cell>
          <cell r="T45" t="str">
            <v>Sergio Cesar</v>
          </cell>
          <cell r="U45" t="str">
            <v>Diaz</v>
          </cell>
          <cell r="V45" t="str">
            <v>Quiroz</v>
          </cell>
          <cell r="X45" t="str">
            <v>GUN880613NY1</v>
          </cell>
          <cell r="AD45">
            <v>42592</v>
          </cell>
          <cell r="AL45" t="str">
            <v>Construcción de la primera etapa de pavimento de concreto hidráulico MR-45, de línea de agua potable, drenaje sanitario, alumbrado público, guarniciones, banquetas, ciclovía, señalética y arbolado en la Avenida Ramón Corona carril sur primera etapa, en la colonia Base Áerea Militar , municipio de Zapopan, Jalisco.</v>
          </cell>
          <cell r="AM45">
            <v>42592</v>
          </cell>
          <cell r="AN45">
            <v>42713</v>
          </cell>
          <cell r="AS45" t="str">
            <v>Colonia Base Aerea Militar</v>
          </cell>
        </row>
        <row r="46">
          <cell r="D46" t="str">
            <v>DOPI-FED-R23-PAV-LP-084-2016</v>
          </cell>
          <cell r="I46" t="str">
            <v>Reencarpetamiento de la Av. Obreros de Cananea, municipio de Zapopan, Jalisco.</v>
          </cell>
          <cell r="T46" t="str">
            <v>Salvador</v>
          </cell>
          <cell r="U46" t="str">
            <v>Meza</v>
          </cell>
          <cell r="V46" t="str">
            <v>López</v>
          </cell>
          <cell r="X46" t="str">
            <v>CCO780607JD6</v>
          </cell>
          <cell r="AD46">
            <v>42656</v>
          </cell>
          <cell r="AM46">
            <v>42656</v>
          </cell>
          <cell r="AN46">
            <v>42722</v>
          </cell>
          <cell r="AS46" t="str">
            <v>Colonia El Paraiso</v>
          </cell>
        </row>
        <row r="47">
          <cell r="D47" t="str">
            <v>DOPI-FED-R23-PAV-LP-085-2016</v>
          </cell>
          <cell r="I47" t="str">
            <v>Reencarpetamiento de la Calle Industria, municipio de Zapopan, Jalisco.</v>
          </cell>
          <cell r="T47" t="str">
            <v>Ernesto</v>
          </cell>
          <cell r="U47" t="str">
            <v>Zamora</v>
          </cell>
          <cell r="V47" t="str">
            <v>Corona</v>
          </cell>
          <cell r="X47" t="str">
            <v>KIC040617JIA</v>
          </cell>
          <cell r="AD47">
            <v>42656</v>
          </cell>
          <cell r="AM47">
            <v>42656</v>
          </cell>
          <cell r="AN47">
            <v>42722</v>
          </cell>
          <cell r="AS47" t="str">
            <v>Colonia El Paraiso</v>
          </cell>
        </row>
        <row r="48">
          <cell r="D48" t="str">
            <v>DOPI-FED-R23-PAV-LP-086-2016</v>
          </cell>
          <cell r="I48" t="str">
            <v>Reencarpetamiento de la Calle Epigmenio Preciado, municipio de Zapopan, Jalisco.</v>
          </cell>
          <cell r="T48" t="str">
            <v>Ignacio Javier</v>
          </cell>
          <cell r="U48" t="str">
            <v>Curiel</v>
          </cell>
          <cell r="V48" t="str">
            <v>Dueñas</v>
          </cell>
          <cell r="X48" t="str">
            <v>TCM100915HA1</v>
          </cell>
          <cell r="AD48">
            <v>42656</v>
          </cell>
          <cell r="AM48">
            <v>42656</v>
          </cell>
          <cell r="AN48">
            <v>42722</v>
          </cell>
          <cell r="AS48" t="str">
            <v>Colonia El Paraiso</v>
          </cell>
        </row>
        <row r="49">
          <cell r="D49" t="str">
            <v>DOPI-FED-R23-PAV-LP-087-2016</v>
          </cell>
          <cell r="I49" t="str">
            <v>Reencarpetamiento de la Av. Constituyentes, municipio de Zapopan, Jalisco.</v>
          </cell>
          <cell r="T49" t="str">
            <v>Ignacio Javier</v>
          </cell>
          <cell r="U49" t="str">
            <v>Curiel</v>
          </cell>
          <cell r="V49" t="str">
            <v>Dueñas</v>
          </cell>
          <cell r="X49" t="str">
            <v>TCM100915HA1</v>
          </cell>
          <cell r="AD49">
            <v>42656</v>
          </cell>
          <cell r="AM49">
            <v>42656</v>
          </cell>
          <cell r="AN49">
            <v>42722</v>
          </cell>
          <cell r="AS49" t="str">
            <v>Colonia Constitución</v>
          </cell>
        </row>
        <row r="50">
          <cell r="D50" t="str">
            <v>DOPI-FED-PR-PAV-LP-088-2016</v>
          </cell>
          <cell r="I50" t="str">
            <v>Construcción de vialidad con concreto hidráulico calle Elote entre calle Indígena y calle Alberto Mora López, incluye: guarniciones, banquetas, red de agua potable, alcantarillado y alumbrado público, zona las Mesas, en el Municipio de Zapopan, Jalisco.</v>
          </cell>
          <cell r="T50" t="str">
            <v>Carlos Ignacio</v>
          </cell>
          <cell r="U50" t="str">
            <v>Curiel</v>
          </cell>
          <cell r="V50" t="str">
            <v>Dueñas</v>
          </cell>
          <cell r="X50" t="str">
            <v>CCE130723IR7</v>
          </cell>
          <cell r="AD50">
            <v>42656</v>
          </cell>
          <cell r="AM50">
            <v>42656</v>
          </cell>
          <cell r="AN50">
            <v>42722</v>
          </cell>
          <cell r="AS50" t="str">
            <v>Zona de Las Mesas</v>
          </cell>
        </row>
        <row r="51">
          <cell r="D51" t="str">
            <v>DOPI-FED-PR-PAV-LP-089-2016</v>
          </cell>
          <cell r="I51" t="str">
            <v>Construcción de vialidad con concreto hidráulico calle Michí desde la calle Cuatlicue a la calle Comitl, incluye: guarniciones, banquetas, red de agua potable, alcantarillado y alumbrado público, zona las Mesas, Municipio de Zapopan, Jalisco.</v>
          </cell>
          <cell r="T51" t="str">
            <v>Carlos Ignacio</v>
          </cell>
          <cell r="U51" t="str">
            <v>Curiel</v>
          </cell>
          <cell r="V51" t="str">
            <v>Dueñas</v>
          </cell>
          <cell r="X51" t="str">
            <v>CCE130723IR7</v>
          </cell>
          <cell r="AD51">
            <v>42656</v>
          </cell>
          <cell r="AM51">
            <v>42657</v>
          </cell>
          <cell r="AN51">
            <v>42723</v>
          </cell>
          <cell r="AS51" t="str">
            <v>Zona de Las Mesas</v>
          </cell>
        </row>
        <row r="52">
          <cell r="D52" t="str">
            <v>DOPI-FED-PR-PAV-LP-090-2016</v>
          </cell>
          <cell r="I52" t="str">
            <v>Construcción de vialidad con concreto hidráulico calle Cuatlicue desde la calle Ozomatlí a la calle Michí, incluye: guarniciones, banquetas, red de agua potable, alcantarillado y alumbrado público, zona las Mesas, Municipio de Zapopan, Jalisco.</v>
          </cell>
          <cell r="T52" t="str">
            <v>José Omar</v>
          </cell>
          <cell r="U52" t="str">
            <v>Fernández</v>
          </cell>
          <cell r="V52" t="str">
            <v>Vázquez</v>
          </cell>
          <cell r="X52" t="str">
            <v>ECO0908115Z7</v>
          </cell>
          <cell r="AD52">
            <v>42656</v>
          </cell>
          <cell r="AM52">
            <v>42656</v>
          </cell>
          <cell r="AN52">
            <v>42722</v>
          </cell>
          <cell r="AS52" t="str">
            <v>Zona de Las Mesas</v>
          </cell>
        </row>
        <row r="53">
          <cell r="D53" t="str">
            <v>DOPI-FED-PR-PAV-LP-091-2016</v>
          </cell>
          <cell r="I53" t="str">
            <v>Construcción de vialidad con concreto hidráulico calle Comitl desde la calle Dellí a la calle Michí, incluye: guarniciones, banquetas, red de agua potable, alcantarillado y alumbrado público, zona las Mesas, Municipio de Zapopan, Jalisco.</v>
          </cell>
          <cell r="T53" t="str">
            <v>Sergio Alberto</v>
          </cell>
          <cell r="U53" t="str">
            <v>Baylon</v>
          </cell>
          <cell r="V53" t="str">
            <v>Moreno</v>
          </cell>
          <cell r="X53" t="str">
            <v>EEC9909173A7</v>
          </cell>
          <cell r="AD53">
            <v>42656</v>
          </cell>
          <cell r="AM53">
            <v>42657</v>
          </cell>
          <cell r="AN53">
            <v>42723</v>
          </cell>
          <cell r="AS53" t="str">
            <v>Zona de Las Mesas</v>
          </cell>
        </row>
        <row r="54">
          <cell r="D54" t="str">
            <v>DOPI-FED-PR-PAV-LP-092-2016</v>
          </cell>
          <cell r="I54" t="str">
            <v>Construcción de vialidad con concreto hidráulico calle Eligio Delgado entre calle Tepatl a calle Indígena, incluye: guarniciones, banquetas, red de agua potable, alcantarillado y alumbrado público, zona las Mesas, Municipio de Zapopan, Jalisco.</v>
          </cell>
          <cell r="T54" t="str">
            <v>Bernardo</v>
          </cell>
          <cell r="U54" t="str">
            <v>Saenz</v>
          </cell>
          <cell r="V54" t="str">
            <v>Barba</v>
          </cell>
          <cell r="X54" t="str">
            <v>GEM070112PX8</v>
          </cell>
          <cell r="AD54">
            <v>42656</v>
          </cell>
          <cell r="AM54">
            <v>42657</v>
          </cell>
          <cell r="AN54">
            <v>42723</v>
          </cell>
          <cell r="AS54" t="str">
            <v>Zona de Las Mesas</v>
          </cell>
        </row>
        <row r="55">
          <cell r="D55" t="str">
            <v>DOPI-FED-PR-PAV-LP-093-2016</v>
          </cell>
          <cell r="I55" t="str">
            <v>Construcción de vialidad con concreto hidráulico calle Ozomatlí desde la calle Cholollan a la calle Lenteja, incluye: guarniciones, banquetas, red de agua potable, alcantarillado y alumbrado público, zona las Mesas, Municipio de Zapopan, Jalisco.</v>
          </cell>
          <cell r="T55" t="str">
            <v>Ignacio Javier</v>
          </cell>
          <cell r="U55" t="str">
            <v>Curiel</v>
          </cell>
          <cell r="V55" t="str">
            <v>Dueñas</v>
          </cell>
          <cell r="X55" t="str">
            <v>TCM100915HA1</v>
          </cell>
          <cell r="AD55">
            <v>42656</v>
          </cell>
          <cell r="AM55">
            <v>42657</v>
          </cell>
          <cell r="AN55">
            <v>42723</v>
          </cell>
          <cell r="AS55" t="str">
            <v>Zona de Las Mesas</v>
          </cell>
        </row>
        <row r="56">
          <cell r="D56" t="str">
            <v>DOPI-FED-PR-PAV-LP-094-2016</v>
          </cell>
          <cell r="I56" t="str">
            <v>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v>
          </cell>
          <cell r="T56" t="str">
            <v>J. Gerardo</v>
          </cell>
          <cell r="U56" t="str">
            <v>Nicanor</v>
          </cell>
          <cell r="V56" t="str">
            <v>Mejia Mariscal</v>
          </cell>
          <cell r="X56" t="str">
            <v>ICO980722M04</v>
          </cell>
          <cell r="AD56">
            <v>42656</v>
          </cell>
          <cell r="AM56">
            <v>42657</v>
          </cell>
          <cell r="AN56">
            <v>42723</v>
          </cell>
          <cell r="AS56" t="str">
            <v>Mesa Colorada</v>
          </cell>
        </row>
        <row r="57">
          <cell r="D57" t="str">
            <v>DOPI-FED-PR-PAV-LP-095-2016</v>
          </cell>
          <cell r="I57" t="str">
            <v>Reencarpetamiento de la Av. Santa Margarita, en la colonia Santa Margarita, incluye: guarniciones, banquetas, renivelación de pozos y cajas, señalamiento vertical y horizontal, Municipio de Zapopan, Jalisco, frente 1.</v>
          </cell>
          <cell r="T57" t="str">
            <v>Víctor Manuel</v>
          </cell>
          <cell r="U57" t="str">
            <v>Jauregui</v>
          </cell>
          <cell r="V57" t="str">
            <v>Torres</v>
          </cell>
          <cell r="X57" t="str">
            <v>CEA070208SB1</v>
          </cell>
          <cell r="AD57">
            <v>42656</v>
          </cell>
          <cell r="AM57">
            <v>42657</v>
          </cell>
          <cell r="AN57">
            <v>42732</v>
          </cell>
          <cell r="AS57" t="str">
            <v>Colonia Santa Margarita</v>
          </cell>
        </row>
        <row r="58">
          <cell r="D58" t="str">
            <v>DOPI-FED-PR-PAV-LP-096-2016</v>
          </cell>
          <cell r="I58" t="str">
            <v>Reencarpetamiento de la Av. Santa Margarita, en la colonia Santa Margarita, incluye: guarniciones, banquetas, renivelación de pozos y cajas, señalamiento vertical y horizontal, Municipio de Zapopan, Jalisco, frente 2.</v>
          </cell>
          <cell r="T58" t="str">
            <v>Víctor Manuel</v>
          </cell>
          <cell r="U58" t="str">
            <v>Jauregui</v>
          </cell>
          <cell r="V58" t="str">
            <v>Torres</v>
          </cell>
          <cell r="X58" t="str">
            <v>CEA070208SB1</v>
          </cell>
          <cell r="AD58">
            <v>42656</v>
          </cell>
          <cell r="AM58">
            <v>42657</v>
          </cell>
          <cell r="AN58">
            <v>42732</v>
          </cell>
          <cell r="AS58" t="str">
            <v>Colonia Santa Margarita</v>
          </cell>
        </row>
        <row r="59">
          <cell r="D59" t="str">
            <v>DOPI-FED-PR-PAV-LP-097-2016</v>
          </cell>
          <cell r="I59" t="str">
            <v>Reencarpetamiento de la Av. Santa Margarita, en la colonia Santa Margarita, incluye: guarniciones, banquetas, renivelación de pozos y cajas, señalamiento vertical y horizontal, Municipio de Zapopan, Jalisco, frente 3.</v>
          </cell>
          <cell r="T59" t="str">
            <v>Víctor Manuel</v>
          </cell>
          <cell r="U59" t="str">
            <v>Jauregui</v>
          </cell>
          <cell r="V59" t="str">
            <v>Torres</v>
          </cell>
          <cell r="X59" t="str">
            <v>CEA070208SB1</v>
          </cell>
          <cell r="AD59">
            <v>42656</v>
          </cell>
          <cell r="AM59">
            <v>42657</v>
          </cell>
          <cell r="AN59">
            <v>42732</v>
          </cell>
          <cell r="AS59" t="str">
            <v>Colonia Santa Margarita</v>
          </cell>
        </row>
        <row r="60">
          <cell r="D60" t="str">
            <v>DOPI-FED-PR-PAV-LP-098-2016</v>
          </cell>
          <cell r="I60" t="str">
            <v>Construcción de la vialidad con concreto hidráulico de la Av. Ramón Corona, incluye: guarniciones, banquetas, red de agua potable, alcantarillado, alumbrado público y forestación, Municipio de Zapopan, Jalisco, frente 1.</v>
          </cell>
          <cell r="T60" t="str">
            <v>J. Gerardo</v>
          </cell>
          <cell r="U60" t="str">
            <v>Nicanor</v>
          </cell>
          <cell r="V60" t="str">
            <v>Mejia Mariscal</v>
          </cell>
          <cell r="X60" t="str">
            <v>ICO980722M04</v>
          </cell>
          <cell r="AD60">
            <v>42685</v>
          </cell>
          <cell r="AM60">
            <v>42688</v>
          </cell>
          <cell r="AN60">
            <v>42763</v>
          </cell>
          <cell r="AS60" t="str">
            <v>Colonia La Mojonera</v>
          </cell>
        </row>
        <row r="61">
          <cell r="D61" t="str">
            <v>DOPI-FED-PR-PAV-LP-099-2016</v>
          </cell>
          <cell r="I61" t="str">
            <v>Construcción de la vialidad con concreto hidráulico de la Av. Ramón Corona, incluye: guarniciones, banquetas, red de agua potable, alcantarillado, alumbrado público y forestación, Municipio de Zapopan, Jalisco, frente 2.</v>
          </cell>
          <cell r="T61" t="str">
            <v>Sergio Cesar</v>
          </cell>
          <cell r="U61" t="str">
            <v>Diaz</v>
          </cell>
          <cell r="V61" t="str">
            <v>Quiroz</v>
          </cell>
          <cell r="X61" t="str">
            <v>GUN880613NY1</v>
          </cell>
          <cell r="AD61">
            <v>42685</v>
          </cell>
          <cell r="AM61">
            <v>42688</v>
          </cell>
          <cell r="AN61">
            <v>42763</v>
          </cell>
          <cell r="AS61" t="str">
            <v>Colonia La Mojonera</v>
          </cell>
        </row>
        <row r="62">
          <cell r="D62" t="str">
            <v>DOPI-FED-PR-PAV-LP-100-2016</v>
          </cell>
          <cell r="I62" t="str">
            <v>Construcción de la vialidad con concreto hidráulico de la Av. Ramón Corona, incluye: guarniciones, banquetas, red de agua potable, alcantarillado, alumbrado público y forestación, Municipio de Zapopan, Jalisco, frente 3.</v>
          </cell>
          <cell r="T62" t="str">
            <v>Sergio Cesar</v>
          </cell>
          <cell r="U62" t="str">
            <v>Diaz</v>
          </cell>
          <cell r="V62" t="str">
            <v>Quiroz</v>
          </cell>
          <cell r="X62" t="str">
            <v>GUN880613NY1</v>
          </cell>
          <cell r="AD62">
            <v>42685</v>
          </cell>
          <cell r="AM62">
            <v>42688</v>
          </cell>
          <cell r="AN62">
            <v>42763</v>
          </cell>
          <cell r="AS62" t="str">
            <v>Colonia La Mojonera</v>
          </cell>
        </row>
        <row r="63">
          <cell r="D63" t="str">
            <v>DOPI-FED-PR-PAV-LP-101-2016</v>
          </cell>
          <cell r="I63" t="str">
            <v>Construcción de Centro de Desarrollo Infantil La Loma, Municipio de Zapopan, Jalisco.</v>
          </cell>
          <cell r="T63" t="str">
            <v>Jesús</v>
          </cell>
          <cell r="U63" t="str">
            <v>Arenas</v>
          </cell>
          <cell r="V63" t="str">
            <v>Bravo</v>
          </cell>
          <cell r="X63" t="str">
            <v>SIC940317FH7</v>
          </cell>
          <cell r="AD63">
            <v>42685</v>
          </cell>
          <cell r="AM63">
            <v>42688</v>
          </cell>
          <cell r="AN63">
            <v>42763</v>
          </cell>
          <cell r="AS63" t="str">
            <v>Colonia La Loma</v>
          </cell>
        </row>
        <row r="64">
          <cell r="D64" t="str">
            <v>DOPI-EST-CR-PAV-LP-102-2016</v>
          </cell>
          <cell r="I64" t="str">
            <v>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v>
          </cell>
          <cell r="T64" t="str">
            <v>José Omar</v>
          </cell>
          <cell r="U64" t="str">
            <v>Fernández</v>
          </cell>
          <cell r="V64" t="str">
            <v>Vázquez</v>
          </cell>
          <cell r="X64" t="str">
            <v>ECO0908115Z7</v>
          </cell>
          <cell r="AD64">
            <v>42656</v>
          </cell>
          <cell r="AM64">
            <v>42657</v>
          </cell>
          <cell r="AN64">
            <v>42776</v>
          </cell>
          <cell r="AS64" t="str">
            <v>Mesa Colorada</v>
          </cell>
        </row>
        <row r="65">
          <cell r="D65" t="str">
            <v>DOPI-EST-CR-PAV-LP-103-2016</v>
          </cell>
          <cell r="I65" t="str">
            <v>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v>
          </cell>
          <cell r="T65" t="str">
            <v>Alejandro</v>
          </cell>
          <cell r="U65" t="str">
            <v>Guevara</v>
          </cell>
          <cell r="V65" t="str">
            <v>Castellanos</v>
          </cell>
          <cell r="X65" t="str">
            <v>UCA0207107X6</v>
          </cell>
          <cell r="AD65">
            <v>42656</v>
          </cell>
          <cell r="AM65">
            <v>42657</v>
          </cell>
          <cell r="AN65">
            <v>42776</v>
          </cell>
          <cell r="AS65" t="str">
            <v>Mesa Colorada</v>
          </cell>
        </row>
        <row r="66">
          <cell r="D66" t="str">
            <v>DOPI-EST-CR-PAV-LP-104-2016</v>
          </cell>
          <cell r="I66" t="str">
            <v>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v>
          </cell>
          <cell r="T66" t="str">
            <v>Alejandro</v>
          </cell>
          <cell r="U66" t="str">
            <v>Guevara</v>
          </cell>
          <cell r="V66" t="str">
            <v>Castellanos</v>
          </cell>
          <cell r="X66" t="str">
            <v>UCA0207107X6</v>
          </cell>
          <cell r="AD66">
            <v>42656</v>
          </cell>
          <cell r="AM66">
            <v>42657</v>
          </cell>
          <cell r="AN66">
            <v>42776</v>
          </cell>
          <cell r="AS66" t="str">
            <v>Mesa Colorada</v>
          </cell>
        </row>
        <row r="67">
          <cell r="D67" t="str">
            <v>DOPI-EST-CR-PAV-LP-105-2016</v>
          </cell>
          <cell r="I67" t="str">
            <v>Construcción de la primera etapa de la calle Chícharo de calle Lenteja a Carretera Saltillo con concreto hidráulico en la zona de la Mesa Colorada, incluye: guarniciones, banquetas, red de agua potable, alcantarillado y alumbrado público, Municipio de Zapopan, Jalisco.</v>
          </cell>
          <cell r="T67" t="str">
            <v>Felipe Daniel II</v>
          </cell>
          <cell r="U67" t="str">
            <v>Nuñez</v>
          </cell>
          <cell r="V67" t="str">
            <v>Pinzón</v>
          </cell>
          <cell r="X67" t="str">
            <v>GNU120809KX1</v>
          </cell>
          <cell r="AD67">
            <v>42656</v>
          </cell>
          <cell r="AM67">
            <v>42657</v>
          </cell>
          <cell r="AN67">
            <v>42776</v>
          </cell>
          <cell r="AS67" t="str">
            <v>Mesa Colorada</v>
          </cell>
        </row>
        <row r="68">
          <cell r="D68" t="str">
            <v>DOPI-EST-CR-PAV-LP-106-2016</v>
          </cell>
          <cell r="I68" t="str">
            <v>Reencarpetamiento de la Av. Santa Margarita de Periférico a Av. Tesistán, en la colonia Santa Margarita incluye: guarniciones, banquetas, renivelación de pozos y cajas, señalamiento vertical y horizontal, Municipio de Zapopan, Jalisco.</v>
          </cell>
          <cell r="T68" t="str">
            <v>Ángel Salomón</v>
          </cell>
          <cell r="U68" t="str">
            <v>Rincón</v>
          </cell>
          <cell r="V68" t="str">
            <v>De la Rosa</v>
          </cell>
          <cell r="X68" t="str">
            <v>AAR120507VA9</v>
          </cell>
          <cell r="AD68">
            <v>42656</v>
          </cell>
          <cell r="AM68">
            <v>42657</v>
          </cell>
          <cell r="AN68">
            <v>42746</v>
          </cell>
          <cell r="AS68" t="str">
            <v>Colonia Santa Margarita</v>
          </cell>
        </row>
        <row r="69">
          <cell r="D69" t="str">
            <v>DOPI-EST-CR-PAV-LP-107-2016</v>
          </cell>
          <cell r="I69" t="str">
            <v>Reencarpetamiento de la calle Santa Esther de Av. Acueducto a Periférico, primera etapa, en la colonia Santa Margarita, incluye: guarniciones, banquetas, renivelación de pozos y cajas, señalamiento vertical y horizontal, Municipio de Zapopan, Jalisco.</v>
          </cell>
          <cell r="T69" t="str">
            <v>Ángel Salomón</v>
          </cell>
          <cell r="U69" t="str">
            <v>Rincón</v>
          </cell>
          <cell r="V69" t="str">
            <v>De la Rosa</v>
          </cell>
          <cell r="X69" t="str">
            <v>AAR120507VA9</v>
          </cell>
          <cell r="AD69">
            <v>42656</v>
          </cell>
          <cell r="AM69">
            <v>42657</v>
          </cell>
          <cell r="AN69">
            <v>42746</v>
          </cell>
          <cell r="AS69" t="str">
            <v>Colonia Santa Margarita</v>
          </cell>
        </row>
        <row r="70">
          <cell r="D70" t="str">
            <v>DOPI-EST-CR-PAV-LP-108-2016</v>
          </cell>
          <cell r="I70" t="str">
            <v>Reencarpetamiento de la calle Santa Esther de Periférico a Av. Santa Ana, primera etapa, en la colonia Santa Margarita, incluye: guarniciones, banquetas, renivelación de pozos y cajas, señalamiento vertical y horizontal, Municipio de Zapopan, Jalisco.</v>
          </cell>
          <cell r="T70" t="str">
            <v>Mario</v>
          </cell>
          <cell r="U70" t="str">
            <v>Beltrán</v>
          </cell>
          <cell r="V70" t="str">
            <v>Rodríguez</v>
          </cell>
          <cell r="X70" t="str">
            <v>CDB0506068Z4</v>
          </cell>
          <cell r="AD70">
            <v>42656</v>
          </cell>
          <cell r="AM70">
            <v>42657</v>
          </cell>
          <cell r="AN70">
            <v>42746</v>
          </cell>
          <cell r="AS70" t="str">
            <v>Colonia Santa Margarita</v>
          </cell>
        </row>
        <row r="71">
          <cell r="D71" t="str">
            <v>DOPI-EST-CR-PAV-LP-109-2016</v>
          </cell>
          <cell r="I71" t="str">
            <v>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v>
          </cell>
          <cell r="T71" t="str">
            <v>Sergio Cesar</v>
          </cell>
          <cell r="U71" t="str">
            <v>Diaz</v>
          </cell>
          <cell r="V71" t="str">
            <v>Quiroz</v>
          </cell>
          <cell r="X71" t="str">
            <v>GUM111201IA5</v>
          </cell>
          <cell r="AD71">
            <v>42656</v>
          </cell>
          <cell r="AM71">
            <v>42657</v>
          </cell>
          <cell r="AN71">
            <v>42746</v>
          </cell>
          <cell r="AS71" t="str">
            <v>Colonia La Martinica</v>
          </cell>
        </row>
        <row r="72">
          <cell r="D72" t="str">
            <v>DOPI-EST-CR-PAV-LP-110-2016</v>
          </cell>
          <cell r="I72" t="str">
            <v>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v>
          </cell>
          <cell r="T72" t="str">
            <v>Sergio Cesar</v>
          </cell>
          <cell r="U72" t="str">
            <v>Díaz</v>
          </cell>
          <cell r="V72" t="str">
            <v>Quiroz</v>
          </cell>
          <cell r="X72" t="str">
            <v>TRA750528286</v>
          </cell>
          <cell r="AD72">
            <v>42656</v>
          </cell>
          <cell r="AM72">
            <v>42657</v>
          </cell>
          <cell r="AN72">
            <v>42746</v>
          </cell>
          <cell r="AS72" t="str">
            <v>Colonia Parque del Auditorio</v>
          </cell>
        </row>
        <row r="73">
          <cell r="D73" t="str">
            <v>DOPI-EST-CR-PAV-LP-111-2016</v>
          </cell>
          <cell r="I73" t="str">
            <v>Sustitución de losas en la colonia Parque del Auditorio, Municipio de Zapopan, Jalisco.</v>
          </cell>
          <cell r="T73" t="str">
            <v>Mario</v>
          </cell>
          <cell r="U73" t="str">
            <v>Beltrán</v>
          </cell>
          <cell r="V73" t="str">
            <v>Rodríguez</v>
          </cell>
          <cell r="X73" t="str">
            <v>CDB0506068Z4</v>
          </cell>
          <cell r="AD73">
            <v>42656</v>
          </cell>
          <cell r="AM73">
            <v>42657</v>
          </cell>
          <cell r="AN73">
            <v>42746</v>
          </cell>
          <cell r="AS73" t="str">
            <v>Colonia Parque del Auditorio</v>
          </cell>
        </row>
        <row r="74">
          <cell r="D74" t="str">
            <v>DOPI-EST-CR-PAV-LP-112-2016</v>
          </cell>
          <cell r="I74" t="str">
            <v>Construcción de la primera etapa de la calle 20 de Enero de calle Juan Santibañez a Juan Diego con concreto hidráulico en San Juan de Ocotán, incluye: guarniciones, banquetas y alumbrado público, Municipio de Zapopan, Jalisco.</v>
          </cell>
          <cell r="T74" t="str">
            <v>Omar</v>
          </cell>
          <cell r="U74" t="str">
            <v>Mora</v>
          </cell>
          <cell r="V74" t="str">
            <v>Montes de Oca</v>
          </cell>
          <cell r="X74" t="str">
            <v>DCO130215C16</v>
          </cell>
          <cell r="AD74">
            <v>42656</v>
          </cell>
          <cell r="AM74">
            <v>42657</v>
          </cell>
          <cell r="AN74">
            <v>42776</v>
          </cell>
          <cell r="AS74" t="str">
            <v>San Juan de Ocotán</v>
          </cell>
        </row>
        <row r="75">
          <cell r="D75" t="str">
            <v>DOPI-EST-CR-PAV-LP-113-2016</v>
          </cell>
          <cell r="I75" t="str">
            <v>Construcción de la primera etapa de la calle Juan Diego de calle Hidalgo a calle Parral con concreto hidráulico en San Juan de Ocotán, incluye: guarniciones, banquetas y alumbrado público, Municipio de Zapopan, Jalisco.</v>
          </cell>
          <cell r="T75" t="str">
            <v>Julio Eduardo</v>
          </cell>
          <cell r="U75" t="str">
            <v>López</v>
          </cell>
          <cell r="V75" t="str">
            <v>Pérez</v>
          </cell>
          <cell r="X75" t="str">
            <v>PEI020208RW0</v>
          </cell>
          <cell r="AD75">
            <v>42656</v>
          </cell>
          <cell r="AM75">
            <v>42657</v>
          </cell>
          <cell r="AN75">
            <v>42776</v>
          </cell>
          <cell r="AS75" t="str">
            <v>San Juan de Ocotán</v>
          </cell>
        </row>
        <row r="76">
          <cell r="D76" t="str">
            <v>DOPI-EST-CR-PAV-LP-114-2016</v>
          </cell>
          <cell r="I76" t="str">
            <v>Construcción de la primera etapa de la calle Hidalgo de calle Juan Santibañez a calle Parral 3, con concreto hidráulico en San Juan de Ocotán, incluye: guarniciones, banquetas y alumbrado público, Municipio de Zapopan, Jalisco.</v>
          </cell>
          <cell r="T76" t="str">
            <v>Jorge Hugo</v>
          </cell>
          <cell r="U76" t="str">
            <v>López</v>
          </cell>
          <cell r="V76" t="str">
            <v>Pérez</v>
          </cell>
          <cell r="X76" t="str">
            <v>CCM130405AY1</v>
          </cell>
          <cell r="AD76">
            <v>42656</v>
          </cell>
          <cell r="AM76">
            <v>42657</v>
          </cell>
          <cell r="AN76">
            <v>42776</v>
          </cell>
          <cell r="AS76" t="str">
            <v>San Juan de Ocotán</v>
          </cell>
        </row>
        <row r="77">
          <cell r="D77" t="str">
            <v>DOPI-EST-CR-PAV-LP-115-2016</v>
          </cell>
          <cell r="I77" t="str">
            <v>Construcción de la primera etapa de la calle Iturbide de la calle Abasolo hacia Jardines de las Bugambilias con concreto hidráulico en Santa Ana Tepetitlan, incluye: guarniciones, banquetas, red de agua potable, alcantarillado y alumbrado público, Municipio de Zapopan, Jalisco.</v>
          </cell>
          <cell r="T77" t="str">
            <v>Luis Armando</v>
          </cell>
          <cell r="U77" t="str">
            <v>Linares</v>
          </cell>
          <cell r="V77" t="str">
            <v>Cacho</v>
          </cell>
          <cell r="X77" t="str">
            <v>URC160310857</v>
          </cell>
          <cell r="AD77">
            <v>42656</v>
          </cell>
          <cell r="AM77">
            <v>42657</v>
          </cell>
          <cell r="AN77">
            <v>42776</v>
          </cell>
          <cell r="AS77" t="str">
            <v>Santa Ana Tepetitlán</v>
          </cell>
        </row>
        <row r="78">
          <cell r="D78" t="str">
            <v>DOPI-EST-CR-PAV-LP-116-2016</v>
          </cell>
          <cell r="I78" t="str">
            <v>Construcción de la primera etapa de la calle Abasolo de la calle Matamoros a calle 5 de Mayo con concreto hidráulico en Santa Ana Tepetitlan, incluye: guarniciones, banquetas, red de agua potable, alcantarillado y alumbrado público, Municipio de Zapopan, Jalisco.</v>
          </cell>
          <cell r="T78" t="str">
            <v>Julio Eduardo</v>
          </cell>
          <cell r="U78" t="str">
            <v>López</v>
          </cell>
          <cell r="V78" t="str">
            <v>Pérez</v>
          </cell>
          <cell r="X78" t="str">
            <v>PEI020208RW0</v>
          </cell>
          <cell r="AD78">
            <v>42656</v>
          </cell>
          <cell r="AM78">
            <v>42657</v>
          </cell>
          <cell r="AN78">
            <v>42776</v>
          </cell>
          <cell r="AS78" t="str">
            <v>Santa Ana Tepetitlán</v>
          </cell>
        </row>
        <row r="79">
          <cell r="D79" t="str">
            <v>DOPI-EST-CR-PAV-LP-117-2016</v>
          </cell>
          <cell r="I79" t="str">
            <v>Construcción de la primera etapa de la calle Morelos de la calle Matamoros a ingreso a atrio de iglesia con concreto hidráulico en Santa Ana Tepetitlan, incluye: guarniciones, banquetas, red de agua potable, alcantarillado y alumbrado público, Municipio de Zapopan, Jalisco.</v>
          </cell>
          <cell r="T79" t="str">
            <v>Bernardo</v>
          </cell>
          <cell r="U79" t="str">
            <v>Saenz</v>
          </cell>
          <cell r="V79" t="str">
            <v>Barba</v>
          </cell>
          <cell r="X79" t="str">
            <v>GEM070112PX8</v>
          </cell>
          <cell r="AD79">
            <v>42656</v>
          </cell>
          <cell r="AM79">
            <v>42657</v>
          </cell>
          <cell r="AN79">
            <v>42776</v>
          </cell>
          <cell r="AS79" t="str">
            <v>Santa Ana Tepetitlán</v>
          </cell>
        </row>
        <row r="80">
          <cell r="D80" t="str">
            <v>DOPI-EST-CR-PAV-LP-118-2016</v>
          </cell>
          <cell r="I80" t="str">
            <v>Construcción de la primera etapa de la calle Privada Morelos de calle Morelos a cerrada con concreto hidráulico en Santa Ana Tepetitlan, incluye: guarniciones, banquetas, red de agua potable, alcantarillado y alumbrado público, Municipio de Zapopan, Jalisco.</v>
          </cell>
          <cell r="T80" t="str">
            <v>Bernardo</v>
          </cell>
          <cell r="U80" t="str">
            <v>Saenz</v>
          </cell>
          <cell r="V80" t="str">
            <v>Barba</v>
          </cell>
          <cell r="X80" t="str">
            <v>GEM070112PX8</v>
          </cell>
          <cell r="AD80">
            <v>42656</v>
          </cell>
          <cell r="AM80">
            <v>42657</v>
          </cell>
          <cell r="AN80">
            <v>42776</v>
          </cell>
          <cell r="AS80" t="str">
            <v>Santa Ana Tepetitlán</v>
          </cell>
        </row>
        <row r="81">
          <cell r="D81" t="str">
            <v>DOPI-EST-FC-PAV-LP-119-2016</v>
          </cell>
          <cell r="I81" t="str">
            <v>Primera etapa de reencarpetamiento de Circuito Madrigal, de Av. Patria a Circuito. Madrigal, Municipio de Zapopan, Jalisco.</v>
          </cell>
          <cell r="T81" t="str">
            <v>Ángel Salomón</v>
          </cell>
          <cell r="U81" t="str">
            <v>Rincón</v>
          </cell>
          <cell r="V81" t="str">
            <v>De la Rosa</v>
          </cell>
          <cell r="X81" t="str">
            <v>AAR120507VA9</v>
          </cell>
          <cell r="AD81">
            <v>42656</v>
          </cell>
          <cell r="AM81">
            <v>42657</v>
          </cell>
          <cell r="AN81">
            <v>42776</v>
          </cell>
          <cell r="AS81" t="str">
            <v>Colonia Santa Isabel</v>
          </cell>
        </row>
        <row r="82">
          <cell r="D82" t="str">
            <v>DOPI-EST-FC-PAV-LP-120-2016</v>
          </cell>
          <cell r="I82" t="str">
            <v>Primera etapa de modernización de Prolongación Av. Guadalupe, de Prolongación Mariano Otero al Arroyo El Garabato, Municipio de Zapopan, Jalisco.</v>
          </cell>
          <cell r="T82" t="str">
            <v>Sergio Cesar</v>
          </cell>
          <cell r="U82" t="str">
            <v>Diaz</v>
          </cell>
          <cell r="V82" t="str">
            <v>Quiroz</v>
          </cell>
          <cell r="X82" t="str">
            <v>GUM111201IA5</v>
          </cell>
          <cell r="AD82">
            <v>42656</v>
          </cell>
          <cell r="AM82">
            <v>42657</v>
          </cell>
          <cell r="AN82">
            <v>42776</v>
          </cell>
          <cell r="AS82" t="str">
            <v>Colonia El Fortín</v>
          </cell>
        </row>
        <row r="83">
          <cell r="D83" t="str">
            <v>DOPI-EST-FC-PAV-LP-121-2016</v>
          </cell>
          <cell r="I83" t="str">
            <v>Primera etapa de reencarpetamiento y sustitución de losas de la Av. Nicolás Copérnico- Av. Ladrón de Guevara, de Av. Moctezuma a Av. Mariano Otero, Municipio de Zapopan, Jalisco.</v>
          </cell>
          <cell r="T83" t="str">
            <v>Mario</v>
          </cell>
          <cell r="U83" t="str">
            <v>Beltrán</v>
          </cell>
          <cell r="V83" t="str">
            <v>Rodríguez</v>
          </cell>
          <cell r="X83" t="str">
            <v>CDB0506068Z4</v>
          </cell>
          <cell r="AD83">
            <v>42685</v>
          </cell>
          <cell r="AM83">
            <v>42688</v>
          </cell>
          <cell r="AN83">
            <v>42807</v>
          </cell>
          <cell r="AS83" t="str">
            <v>Colonia Paseos del Sol</v>
          </cell>
        </row>
        <row r="84">
          <cell r="D84" t="str">
            <v>DOPI-EST-FC-PAV-LP-122-2016</v>
          </cell>
          <cell r="I84" t="str">
            <v>Primera etapa de reencarpetamiento y sustitución de losas de Av. Valle de Atemajac, de Av. López Mateos a Sierra de Tapalpa, Municipio de Zapopan, Jalisco.</v>
          </cell>
          <cell r="T84" t="str">
            <v>Mario</v>
          </cell>
          <cell r="U84" t="str">
            <v>Beltrán</v>
          </cell>
          <cell r="V84" t="str">
            <v>Rodríguez</v>
          </cell>
          <cell r="X84" t="str">
            <v>CDB0506068Z4</v>
          </cell>
          <cell r="AD84">
            <v>42685</v>
          </cell>
          <cell r="AM84">
            <v>42688</v>
          </cell>
          <cell r="AN84">
            <v>42807</v>
          </cell>
          <cell r="AS84" t="str">
            <v>Colonia Las Aguilas</v>
          </cell>
        </row>
        <row r="85">
          <cell r="D85" t="str">
            <v>DOPI-EST-FC-PAV-LP-123-2016</v>
          </cell>
          <cell r="I85" t="str">
            <v>Construcción de nueva celda para la disposición de residuos, primera etapa, en el vertedero de basura Picachos, Municipio de Zapopan, Jalisco</v>
          </cell>
          <cell r="T85" t="str">
            <v>Jesús David</v>
          </cell>
          <cell r="U85" t="str">
            <v>Garza</v>
          </cell>
          <cell r="V85" t="str">
            <v>Garcia</v>
          </cell>
          <cell r="X85" t="str">
            <v>CEA010615GT0</v>
          </cell>
          <cell r="AD85">
            <v>42685</v>
          </cell>
          <cell r="AM85">
            <v>42688</v>
          </cell>
          <cell r="AN85">
            <v>42504</v>
          </cell>
          <cell r="AS85" t="str">
            <v>Relleno Sanitario de Picachos</v>
          </cell>
        </row>
        <row r="86">
          <cell r="D86" t="str">
            <v>DOPI-MUN-PR-EP-LP-124-2016</v>
          </cell>
          <cell r="I86" t="str">
            <v>Rehabilitación de instalaciones y construcción de Centro Comunitario dentro de la Unidad Deportiva del Polvorín, Municipio de Zapopan, Jalisco, frente 1.</v>
          </cell>
          <cell r="T86" t="str">
            <v xml:space="preserve">Leobardo </v>
          </cell>
          <cell r="U86" t="str">
            <v>Preciado</v>
          </cell>
          <cell r="V86" t="str">
            <v>Zepeda</v>
          </cell>
          <cell r="X86" t="str">
            <v>CCA971126QC9</v>
          </cell>
          <cell r="AD86">
            <v>42685</v>
          </cell>
          <cell r="AM86">
            <v>42688</v>
          </cell>
          <cell r="AN86">
            <v>42763</v>
          </cell>
          <cell r="AS86" t="str">
            <v>Colonia Guadalajarita</v>
          </cell>
        </row>
        <row r="87">
          <cell r="D87" t="str">
            <v>DOPI-MUN-PR-EP-LP-125-2016</v>
          </cell>
          <cell r="I87" t="str">
            <v>Rehabilitación de instalaciones y construcción de Centro Comunitario dentro de la Unidad Deportiva del Polvorín, Municipio de Zapopan, Jalisco, frente 2.</v>
          </cell>
          <cell r="T87" t="str">
            <v>Marco Antonio</v>
          </cell>
          <cell r="U87" t="str">
            <v>Cortés</v>
          </cell>
          <cell r="V87" t="str">
            <v>González</v>
          </cell>
          <cell r="X87" t="str">
            <v>GTM050418384</v>
          </cell>
          <cell r="AD87">
            <v>42685</v>
          </cell>
          <cell r="AM87">
            <v>42688</v>
          </cell>
          <cell r="AN87">
            <v>42763</v>
          </cell>
          <cell r="AS87" t="str">
            <v>Colonia Guadalajarita</v>
          </cell>
        </row>
        <row r="88">
          <cell r="D88" t="str">
            <v>DOPI-MUN-CISZ-RM-LP-140-2016</v>
          </cell>
          <cell r="I88" t="str">
            <v>Estudios, proyecto ejecutivo, construcción, equipamiento del Centro Integral de Servicios del Municipio de Zapopan.</v>
          </cell>
          <cell r="AD88">
            <v>42956</v>
          </cell>
          <cell r="AM88">
            <v>42957</v>
          </cell>
          <cell r="AN88">
            <v>43326</v>
          </cell>
          <cell r="AS88" t="str">
            <v>Colonia Tepeyac</v>
          </cell>
        </row>
        <row r="89">
          <cell r="B89" t="str">
            <v>Licitación por Invitación Restringida</v>
          </cell>
          <cell r="D89" t="str">
            <v>DOPI-MUN-CRM-AP-CI-141-2016</v>
          </cell>
          <cell r="I89" t="str">
            <v>Construcción de linea de conducción de agua potable desde el pozo de La Soledad de Nextipac a la Colonia Fuentesillas, en la localidad de Nextipac; Construccuón de red de drenaje y descargas sanitarias en la Colonia Vinatera, municipio de Zapopan, Jalisco.</v>
          </cell>
          <cell r="T89" t="str">
            <v>Claudio Felipe</v>
          </cell>
          <cell r="U89" t="str">
            <v>Trujillo</v>
          </cell>
          <cell r="V89" t="str">
            <v>Gracián</v>
          </cell>
          <cell r="X89" t="str">
            <v>DLU100818F46</v>
          </cell>
          <cell r="AD89">
            <v>42685</v>
          </cell>
          <cell r="AM89">
            <v>42688</v>
          </cell>
          <cell r="AN89">
            <v>42728</v>
          </cell>
          <cell r="AS89" t="str">
            <v>Localidad de Nextipac</v>
          </cell>
        </row>
        <row r="90">
          <cell r="B90" t="str">
            <v>Licitación por Invitación Restringida</v>
          </cell>
          <cell r="D90" t="str">
            <v>DOPI-MUN-CRM-AP-CI-142-2016</v>
          </cell>
          <cell r="I90" t="str">
            <v>Perforación y Equipamiento de pozo profundo en la localidad de Milpillas Mesa de San Juan, municipio de Zapopan, Jalisco</v>
          </cell>
          <cell r="T90" t="str">
            <v>Víctor Saul</v>
          </cell>
          <cell r="U90" t="str">
            <v>Ramos</v>
          </cell>
          <cell r="V90" t="str">
            <v>Morales</v>
          </cell>
          <cell r="X90" t="str">
            <v>RDR100922131</v>
          </cell>
          <cell r="AD90">
            <v>42685</v>
          </cell>
          <cell r="AM90">
            <v>42688</v>
          </cell>
          <cell r="AN90">
            <v>42759</v>
          </cell>
          <cell r="AS90" t="str">
            <v>Localidad Milpillas</v>
          </cell>
        </row>
        <row r="91">
          <cell r="B91" t="str">
            <v>Licitación por Invitación Restringida</v>
          </cell>
          <cell r="D91" t="str">
            <v>DOPI-MUN-CRM-AP-CI-143-2016</v>
          </cell>
          <cell r="I91" t="str">
            <v>Perforación y equipamiento de pozo profundo en la localidad de Cerca Morada, municipio de Zapopan, Jalisco.</v>
          </cell>
          <cell r="T91" t="str">
            <v>Antonio José Rodolfo</v>
          </cell>
          <cell r="U91" t="str">
            <v>Corcuera</v>
          </cell>
          <cell r="V91" t="str">
            <v>Garza Madero</v>
          </cell>
          <cell r="X91" t="str">
            <v>AOC830810TG9</v>
          </cell>
          <cell r="AD91">
            <v>42685</v>
          </cell>
          <cell r="AM91">
            <v>42688</v>
          </cell>
          <cell r="AN91">
            <v>42759</v>
          </cell>
          <cell r="AS91" t="str">
            <v>Localidad Cerca Morada</v>
          </cell>
        </row>
        <row r="92">
          <cell r="B92" t="str">
            <v>Licitación por Invitación Restringida</v>
          </cell>
          <cell r="D92" t="str">
            <v>DOPI-MUN-RM-IS-CI-144-2016</v>
          </cell>
          <cell r="I92" t="str">
            <v>Rehabilitación del área de consultorios, urgencias,mortuario y acabados en general en la Cruz Verde Sur Las Aguilas, ubicada en Av. López Mateos y calle Cruz del Sur en la Colonia Las Aguilas, municipio de Zapopan, Jalisco.</v>
          </cell>
          <cell r="T92" t="str">
            <v>Marco Antonio</v>
          </cell>
          <cell r="U92" t="str">
            <v>Cortés</v>
          </cell>
          <cell r="V92" t="str">
            <v>González</v>
          </cell>
          <cell r="X92" t="str">
            <v>GTM050418384</v>
          </cell>
          <cell r="AD92">
            <v>42685</v>
          </cell>
          <cell r="AM92">
            <v>42688</v>
          </cell>
          <cell r="AN92">
            <v>42728</v>
          </cell>
          <cell r="AS92" t="str">
            <v>Colonia Las Aguilas</v>
          </cell>
        </row>
        <row r="93">
          <cell r="B93" t="str">
            <v>Licitación por Invitación Restringida</v>
          </cell>
          <cell r="D93" t="str">
            <v>DOPI-MUN-RM-AP-CI-145-2016</v>
          </cell>
          <cell r="I93" t="str">
            <v>Sustitución de red de agua potable, drenaje sanitario y adecuaciones pluviales en la Avenida Juan Manuel Ruvalcaba en el tramo de la calle Río Amazonas y Pedro Moreno, localidad de Santa Lucia, municipio de Zapopan, Jalisco.</v>
          </cell>
          <cell r="T93" t="str">
            <v>Mario</v>
          </cell>
          <cell r="U93" t="str">
            <v>Beltrán</v>
          </cell>
          <cell r="V93" t="str">
            <v>Rodríguez</v>
          </cell>
          <cell r="X93" t="str">
            <v>CDB0506068Z4</v>
          </cell>
          <cell r="AD93">
            <v>42685</v>
          </cell>
          <cell r="AM93">
            <v>42688</v>
          </cell>
          <cell r="AN93">
            <v>42728</v>
          </cell>
          <cell r="AS93" t="str">
            <v>Localidad de Santa Lucia</v>
          </cell>
        </row>
        <row r="94">
          <cell r="B94" t="str">
            <v>Licitación por Invitación Restringida</v>
          </cell>
          <cell r="D94" t="str">
            <v>DOPI-MUN-RM-IE-CI-146-2016</v>
          </cell>
          <cell r="I94" t="str">
            <v>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ell>
          <cell r="T94" t="str">
            <v>Gustavo</v>
          </cell>
          <cell r="U94" t="str">
            <v>Durán</v>
          </cell>
          <cell r="V94" t="str">
            <v>Jiménez</v>
          </cell>
          <cell r="X94" t="str">
            <v>DJA9405184G7</v>
          </cell>
          <cell r="AD94">
            <v>42685</v>
          </cell>
          <cell r="AM94">
            <v>42688</v>
          </cell>
          <cell r="AN94">
            <v>42728</v>
          </cell>
          <cell r="AS94" t="str">
            <v>Colonia Centro, El Vigia, Santa Ana Tepetitlán, Jardines del Valle, Lomas de Tabachines, Paraisos del Colli y Vicente Guerrero</v>
          </cell>
        </row>
        <row r="95">
          <cell r="B95" t="str">
            <v>Licitación por Invitación Restringida</v>
          </cell>
          <cell r="D95" t="str">
            <v>DOPI-MUN-RM-AP-CI-147-2016</v>
          </cell>
          <cell r="I95" t="str">
            <v>Perforación y equipamiento de pozo en el ejido de Copalita.</v>
          </cell>
          <cell r="T95" t="str">
            <v>Karla Mariana</v>
          </cell>
          <cell r="U95" t="str">
            <v>Méndez</v>
          </cell>
          <cell r="V95" t="str">
            <v>Rodríguez</v>
          </cell>
          <cell r="X95" t="str">
            <v>GFU021009BC1</v>
          </cell>
          <cell r="AD95">
            <v>42685</v>
          </cell>
          <cell r="AM95">
            <v>42688</v>
          </cell>
          <cell r="AN95">
            <v>42759</v>
          </cell>
          <cell r="AS95" t="str">
            <v>Ejido Copalita</v>
          </cell>
        </row>
        <row r="96">
          <cell r="B96" t="str">
            <v>Licitación por Invitación Restringida</v>
          </cell>
          <cell r="D96" t="str">
            <v>DOPI-MUN-R33-ELE-CI-148-2016</v>
          </cell>
          <cell r="I96" t="str">
            <v>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v>
          </cell>
          <cell r="T96" t="str">
            <v>Héctor Alejandro</v>
          </cell>
          <cell r="U96" t="str">
            <v>Ortega</v>
          </cell>
          <cell r="V96" t="str">
            <v>Rosales</v>
          </cell>
          <cell r="X96" t="str">
            <v>ISS920330811</v>
          </cell>
          <cell r="AD96">
            <v>42685</v>
          </cell>
          <cell r="AM96">
            <v>42688</v>
          </cell>
          <cell r="AN96">
            <v>42728</v>
          </cell>
        </row>
        <row r="97">
          <cell r="B97" t="str">
            <v>Licitación por Invitación Restringida</v>
          </cell>
          <cell r="D97" t="str">
            <v>DOPI-MUN-R33-AP-CI-149-2016</v>
          </cell>
          <cell r="I97" t="str">
            <v>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v>
          </cell>
          <cell r="T97" t="str">
            <v>Eduardo</v>
          </cell>
          <cell r="U97" t="str">
            <v>Romero</v>
          </cell>
          <cell r="V97" t="str">
            <v>Lugo</v>
          </cell>
          <cell r="X97" t="str">
            <v>ROS120904PV9</v>
          </cell>
          <cell r="AD97">
            <v>42727</v>
          </cell>
          <cell r="AM97">
            <v>42730</v>
          </cell>
          <cell r="AN97">
            <v>42831</v>
          </cell>
          <cell r="AS97" t="str">
            <v>Colonia Mesa Colorada Oriente y colonia Mesa de los Ocotes</v>
          </cell>
        </row>
        <row r="98">
          <cell r="B98" t="str">
            <v>Licitación por Invitación Restringida</v>
          </cell>
          <cell r="D98" t="str">
            <v>DOPI-MUN-RM-PAV-CI-150-2016</v>
          </cell>
          <cell r="I98" t="str">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v>
          </cell>
          <cell r="T98" t="str">
            <v>David Eduardo</v>
          </cell>
          <cell r="U98" t="str">
            <v>Lara</v>
          </cell>
          <cell r="V98" t="str">
            <v>Ochoa</v>
          </cell>
          <cell r="X98" t="str">
            <v>CIC080626ER2</v>
          </cell>
          <cell r="AD98">
            <v>42685</v>
          </cell>
          <cell r="AM98">
            <v>42688</v>
          </cell>
          <cell r="AN98">
            <v>42728</v>
          </cell>
          <cell r="AS98" t="str">
            <v>San Juan de Ocotán</v>
          </cell>
        </row>
        <row r="99">
          <cell r="B99" t="str">
            <v>Licitación por Invitación Restringida</v>
          </cell>
          <cell r="D99" t="str">
            <v>DOPI-MUN-RM-PAV-CI-151-2016</v>
          </cell>
          <cell r="I99" t="str">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v>
          </cell>
          <cell r="T99" t="str">
            <v>Luis Armando</v>
          </cell>
          <cell r="U99" t="str">
            <v>Linares</v>
          </cell>
          <cell r="V99" t="str">
            <v>Cacho</v>
          </cell>
          <cell r="X99" t="str">
            <v>URC160310857</v>
          </cell>
          <cell r="AD99">
            <v>42685</v>
          </cell>
          <cell r="AM99">
            <v>42688</v>
          </cell>
          <cell r="AN99">
            <v>42728</v>
          </cell>
          <cell r="AS99" t="str">
            <v>San Juan de Ocotán</v>
          </cell>
        </row>
        <row r="100">
          <cell r="B100" t="str">
            <v>Licitación por Invitación Restringida</v>
          </cell>
          <cell r="D100" t="str">
            <v>DOPI-MUN-RM-PAV-CI-152-2016</v>
          </cell>
          <cell r="I100" t="str">
            <v>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v>
          </cell>
          <cell r="T100" t="str">
            <v>Carlos Ignacio</v>
          </cell>
          <cell r="U100" t="str">
            <v>Curiel</v>
          </cell>
          <cell r="V100" t="str">
            <v>Dueñas</v>
          </cell>
          <cell r="X100" t="str">
            <v>CCE130723IR7</v>
          </cell>
          <cell r="AD100">
            <v>42685</v>
          </cell>
          <cell r="AM100">
            <v>42688</v>
          </cell>
          <cell r="AN100">
            <v>42728</v>
          </cell>
          <cell r="AS100" t="str">
            <v>San Juan de Ocotán</v>
          </cell>
        </row>
        <row r="101">
          <cell r="B101" t="str">
            <v>Licitación por Invitación Restringida</v>
          </cell>
          <cell r="D101" t="str">
            <v>DOPI-MUN-RM-PAV-CI-153-2016</v>
          </cell>
          <cell r="I101" t="str">
            <v>Construcción de pavimento de concreto hidráulico MR-45, de línea de agua potable, drenaje sanitario, electrificación, alumbrado público, guarniciones, banqueta, señalética horizontal y vertical en la calle Capulín, en la localidad de Tesistán, municipio de Zapopan, Jalisco.</v>
          </cell>
          <cell r="T101" t="str">
            <v xml:space="preserve"> Martha </v>
          </cell>
          <cell r="U101" t="str">
            <v>Jiménez</v>
          </cell>
          <cell r="V101" t="str">
            <v>López</v>
          </cell>
          <cell r="X101" t="str">
            <v>IBO090918ET9</v>
          </cell>
          <cell r="AD101">
            <v>42685</v>
          </cell>
          <cell r="AM101">
            <v>42688</v>
          </cell>
          <cell r="AN101">
            <v>42728</v>
          </cell>
          <cell r="AS101" t="str">
            <v>Localidad de Tesistán</v>
          </cell>
        </row>
        <row r="102">
          <cell r="B102" t="str">
            <v>Licitación por Invitación Restringida</v>
          </cell>
          <cell r="D102" t="str">
            <v>DOPI-MUN-RM-PAV-CI-154-2016</v>
          </cell>
          <cell r="I102" t="str">
            <v>Construcción de la primera etapa de pavimento de concreto hidráulico MR-45, línea de agua potable, drenaje sanitario, colector sanitario, guarniciones, banqueta, bocas de tormenta en la calle Navio de la Av. La Calma a calle Boyero, en la colonia La Calma, municipio de Zapopan, Jalisco.</v>
          </cell>
          <cell r="T102" t="str">
            <v>Carlos</v>
          </cell>
          <cell r="U102" t="str">
            <v>Pérez</v>
          </cell>
          <cell r="V102" t="str">
            <v>Cruz</v>
          </cell>
          <cell r="X102" t="str">
            <v>CPE070123PD4</v>
          </cell>
          <cell r="AD102">
            <v>42685</v>
          </cell>
          <cell r="AM102">
            <v>42688</v>
          </cell>
          <cell r="AN102">
            <v>42728</v>
          </cell>
          <cell r="AS102" t="str">
            <v>Colonia La Calma</v>
          </cell>
        </row>
        <row r="103">
          <cell r="B103" t="str">
            <v>Licitación por Invitación Restringida</v>
          </cell>
          <cell r="D103" t="str">
            <v>DOPI-MUN-RM-PAV-CI-155-2016</v>
          </cell>
          <cell r="I103" t="str">
            <v>Construcción de empedrado tradicional y huellas de rodamiento de concreto hidráulico MR-42, cunetas, guarniciones, banquetas, señalamiento vertical y horizontal en el camino al Arenero, municipio de Zapopan, Jalisco.</v>
          </cell>
          <cell r="T103" t="str">
            <v>Arturo</v>
          </cell>
          <cell r="U103" t="str">
            <v>Rangel</v>
          </cell>
          <cell r="V103" t="str">
            <v>Paez</v>
          </cell>
          <cell r="X103" t="str">
            <v>CLA890925ER5</v>
          </cell>
          <cell r="AD103">
            <v>42685</v>
          </cell>
          <cell r="AM103">
            <v>42688</v>
          </cell>
          <cell r="AN103">
            <v>42728</v>
          </cell>
          <cell r="AS103" t="str">
            <v>Colonia Bajío</v>
          </cell>
        </row>
        <row r="104">
          <cell r="B104" t="str">
            <v>Licitación por Invitación Restringida</v>
          </cell>
          <cell r="D104" t="str">
            <v>DOPI-MUN-RM-IE-CI-156-2016</v>
          </cell>
          <cell r="I104" t="str">
            <v>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ell>
          <cell r="T104" t="str">
            <v>Eduardo</v>
          </cell>
          <cell r="U104" t="str">
            <v>Cruz</v>
          </cell>
          <cell r="V104" t="str">
            <v>Moguel</v>
          </cell>
          <cell r="X104" t="str">
            <v>BAL990803661</v>
          </cell>
          <cell r="AD104">
            <v>42685</v>
          </cell>
          <cell r="AM104">
            <v>42688</v>
          </cell>
          <cell r="AN104">
            <v>42728</v>
          </cell>
        </row>
        <row r="105">
          <cell r="B105" t="str">
            <v>Licitación por Invitación Restringida</v>
          </cell>
          <cell r="D105" t="str">
            <v>DOPI-MUN-RM-IE-CI-157-2016</v>
          </cell>
          <cell r="I105" t="str">
            <v>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v>
          </cell>
          <cell r="T105" t="str">
            <v>Vicente</v>
          </cell>
          <cell r="U105" t="str">
            <v>Mendoza</v>
          </cell>
          <cell r="V105" t="str">
            <v>Lamas</v>
          </cell>
          <cell r="X105" t="str">
            <v>CUA130425I70</v>
          </cell>
          <cell r="AD105">
            <v>42685</v>
          </cell>
          <cell r="AM105">
            <v>42688</v>
          </cell>
          <cell r="AN105">
            <v>42728</v>
          </cell>
        </row>
        <row r="106">
          <cell r="B106" t="str">
            <v>Licitación por Invitación Restringida</v>
          </cell>
          <cell r="D106" t="str">
            <v>DOPI-MUN-RM-IE-CI-158-2016</v>
          </cell>
          <cell r="I106" t="str">
            <v>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ell>
          <cell r="T106" t="str">
            <v>J. Gerardo</v>
          </cell>
          <cell r="U106" t="str">
            <v>Nicanor</v>
          </cell>
          <cell r="V106" t="str">
            <v>Mejia Mariscal</v>
          </cell>
          <cell r="X106" t="str">
            <v>ICO980722M04</v>
          </cell>
          <cell r="AD106">
            <v>42685</v>
          </cell>
          <cell r="AM106">
            <v>42688</v>
          </cell>
          <cell r="AN106">
            <v>42728</v>
          </cell>
        </row>
        <row r="107">
          <cell r="B107" t="str">
            <v>Licitación Pública</v>
          </cell>
          <cell r="D107" t="str">
            <v>DOPI-MUN-RM-IM-LP-173-2016</v>
          </cell>
          <cell r="I107" t="str">
            <v>Rehabilitación de la instalación eléctrica, iluminación y alumbrado público en el mercado municipal de Atemajac, municipio de Zapopan, Jalisco.</v>
          </cell>
          <cell r="T107" t="str">
            <v>Amalia</v>
          </cell>
          <cell r="U107" t="str">
            <v>Moreno</v>
          </cell>
          <cell r="V107" t="str">
            <v>Maldonado</v>
          </cell>
          <cell r="X107" t="str">
            <v>GCM020226F28</v>
          </cell>
          <cell r="AD107">
            <v>42726</v>
          </cell>
          <cell r="AG107">
            <v>8929443.7100000009</v>
          </cell>
          <cell r="AM107">
            <v>42727</v>
          </cell>
          <cell r="AN107">
            <v>42816</v>
          </cell>
          <cell r="AS107" t="str">
            <v>Atemajac</v>
          </cell>
        </row>
        <row r="108">
          <cell r="B108" t="str">
            <v>Licitación Pública</v>
          </cell>
          <cell r="D108" t="str">
            <v>DOPI-MUN-RM-IM-LP-174-2016</v>
          </cell>
          <cell r="I108" t="str">
            <v>Rehabilitación de la red hidrosanitaria, instalación de la red contra incendio, obra civil, elevador y acabados en el mercado municipal de Atemajac, municipio de Zapopan , Jalisco.</v>
          </cell>
          <cell r="T108" t="str">
            <v xml:space="preserve">Leobardo </v>
          </cell>
          <cell r="U108" t="str">
            <v>Preciado</v>
          </cell>
          <cell r="V108" t="str">
            <v>Zepeda</v>
          </cell>
          <cell r="X108" t="str">
            <v>CCA971126QC9</v>
          </cell>
          <cell r="AD108">
            <v>42726</v>
          </cell>
          <cell r="AG108">
            <v>10276943.060000001</v>
          </cell>
          <cell r="AM108">
            <v>42727</v>
          </cell>
          <cell r="AN108">
            <v>42816</v>
          </cell>
          <cell r="AS108" t="str">
            <v>Atemajac</v>
          </cell>
        </row>
        <row r="109">
          <cell r="B109" t="str">
            <v>Licitación Pública</v>
          </cell>
          <cell r="D109" t="str">
            <v>DOPI-MUN-RM-DP-LP-175-2016</v>
          </cell>
          <cell r="I109" t="str">
            <v>Sustitución de rejillas de bocas de tormenta en diferentes vialidades del municipio.</v>
          </cell>
          <cell r="T109" t="str">
            <v>José Omar</v>
          </cell>
          <cell r="U109" t="str">
            <v>Fernández</v>
          </cell>
          <cell r="V109" t="str">
            <v>Vázquez</v>
          </cell>
          <cell r="X109" t="str">
            <v>FEVO740619686</v>
          </cell>
          <cell r="AD109">
            <v>42726</v>
          </cell>
          <cell r="AG109">
            <v>2998448.3</v>
          </cell>
          <cell r="AM109">
            <v>42727</v>
          </cell>
          <cell r="AN109">
            <v>42846</v>
          </cell>
        </row>
        <row r="110">
          <cell r="B110" t="str">
            <v>Licitación Pública</v>
          </cell>
          <cell r="D110" t="str">
            <v>DOPI-MUN-RM-ID-LP-176-2016</v>
          </cell>
          <cell r="I110" t="str">
            <v>Rehabilitación de las instalaciones y equipamiento deportivo de la Unidad Deportiva Miramar, municipio de Zapopan, Jalisco</v>
          </cell>
          <cell r="T110" t="str">
            <v>José Antonio</v>
          </cell>
          <cell r="U110" t="str">
            <v>Álvarez</v>
          </cell>
          <cell r="V110" t="str">
            <v>Garcia</v>
          </cell>
          <cell r="X110" t="str">
            <v>UMN160125869</v>
          </cell>
          <cell r="AD110">
            <v>42726</v>
          </cell>
          <cell r="AG110">
            <v>7420078.3799999999</v>
          </cell>
          <cell r="AM110">
            <v>42727</v>
          </cell>
          <cell r="AN110">
            <v>42816</v>
          </cell>
          <cell r="AS110" t="str">
            <v>Colonia Miramar</v>
          </cell>
        </row>
        <row r="111">
          <cell r="B111" t="str">
            <v>Licitación Pública</v>
          </cell>
          <cell r="D111" t="str">
            <v>DOPI-MUN-RM-ID-LP-177-2016</v>
          </cell>
          <cell r="I111" t="str">
            <v>Rehabilitación de las Instalaciones y equipamiento deportivo de la Unidad Deportiva Paseos del Briseño, municipio de Zapopan, Jalisco</v>
          </cell>
          <cell r="T111" t="str">
            <v>Francisco Javier</v>
          </cell>
          <cell r="U111" t="str">
            <v>Diaz</v>
          </cell>
          <cell r="V111" t="str">
            <v>Ruiz</v>
          </cell>
          <cell r="X111" t="str">
            <v>CDI950714B79</v>
          </cell>
          <cell r="AD111">
            <v>42726</v>
          </cell>
          <cell r="AG111">
            <v>8768312.9199999999</v>
          </cell>
          <cell r="AM111">
            <v>42727</v>
          </cell>
          <cell r="AN111">
            <v>42816</v>
          </cell>
          <cell r="AS111" t="str">
            <v>Colonia Paseos del Briseño</v>
          </cell>
        </row>
        <row r="112">
          <cell r="B112" t="str">
            <v>Licitación Pública</v>
          </cell>
          <cell r="D112" t="str">
            <v>DOPI-MUN-RM-ID-LP-178-2016</v>
          </cell>
          <cell r="I112" t="str">
            <v>Rehabilitación de las Instalaciones y equipamiento deportivo de la Unidad Deportiva San Juan de Ocotán, municipio de Zapopan, Jalisco</v>
          </cell>
          <cell r="T112" t="str">
            <v>Eduardo</v>
          </cell>
          <cell r="U112" t="str">
            <v>Romero</v>
          </cell>
          <cell r="V112" t="str">
            <v>Lugo</v>
          </cell>
          <cell r="X112" t="str">
            <v>ROS120904PV9</v>
          </cell>
          <cell r="AD112">
            <v>42726</v>
          </cell>
          <cell r="AG112">
            <v>7913055.7999999998</v>
          </cell>
          <cell r="AM112">
            <v>42727</v>
          </cell>
          <cell r="AN112">
            <v>42794</v>
          </cell>
          <cell r="AS112" t="str">
            <v>Colonia San Juan de Ocotán</v>
          </cell>
        </row>
        <row r="113">
          <cell r="B113" t="str">
            <v>Licitación Pública</v>
          </cell>
          <cell r="D113" t="str">
            <v>DOPI-MUN-RM-MOV-LP-179-2016</v>
          </cell>
          <cell r="I113" t="str">
            <v>Construcción de cruceros seguros, incluye señaletica horizontal y vertical, acceso universal en esquinas,semaforización y paradas de autobús en diferentes cruceros, zona 1 del Municipio de Zapopan, Jallisco</v>
          </cell>
          <cell r="T113" t="str">
            <v>José Omar</v>
          </cell>
          <cell r="U113" t="str">
            <v>Fernández</v>
          </cell>
          <cell r="V113" t="str">
            <v>Vázquez</v>
          </cell>
          <cell r="X113" t="str">
            <v>FEVO740619686</v>
          </cell>
          <cell r="AD113">
            <v>42726</v>
          </cell>
          <cell r="AG113">
            <v>3582511.3</v>
          </cell>
          <cell r="AM113">
            <v>42727</v>
          </cell>
          <cell r="AN113">
            <v>42846</v>
          </cell>
        </row>
        <row r="114">
          <cell r="B114" t="str">
            <v>Licitación Pública</v>
          </cell>
          <cell r="D114" t="str">
            <v>DOPI-MUN-RM-MOV-LP-180-2016</v>
          </cell>
          <cell r="I114" t="str">
            <v>Construcción de cruceros seguros, incluye señaletica horizontal y vertical, acceso universal en esquinas,semaforización y paradas de autobús en diferentes cruceros, zona 2 del Municipio de Zapopan, Jallisco</v>
          </cell>
          <cell r="T114" t="str">
            <v>José Jaime</v>
          </cell>
          <cell r="U114" t="str">
            <v>Camarena</v>
          </cell>
          <cell r="V114" t="str">
            <v>Correa</v>
          </cell>
          <cell r="X114" t="str">
            <v>FCO110711N24</v>
          </cell>
          <cell r="AD114">
            <v>42726</v>
          </cell>
          <cell r="AG114">
            <v>4703307.2300000004</v>
          </cell>
          <cell r="AM114">
            <v>42727</v>
          </cell>
          <cell r="AN114">
            <v>42846</v>
          </cell>
        </row>
        <row r="115">
          <cell r="D115" t="str">
            <v>DOPI-FED-R23-IM-LP-188-2016</v>
          </cell>
          <cell r="T115" t="str">
            <v>Luis German</v>
          </cell>
          <cell r="U115" t="str">
            <v xml:space="preserve">Delgadillo </v>
          </cell>
          <cell r="V115" t="str">
            <v>Alcazar</v>
          </cell>
          <cell r="X115" t="str">
            <v>APE111122MI0</v>
          </cell>
          <cell r="AD115">
            <v>42704</v>
          </cell>
          <cell r="AL115" t="str">
            <v>Construcción de la primera etapa del centro comunitario, Centro de Emprendimiento, en Miramar, frente 1.</v>
          </cell>
          <cell r="AM115">
            <v>42705</v>
          </cell>
          <cell r="AN115">
            <v>42735</v>
          </cell>
          <cell r="AS115" t="str">
            <v>Colonia Miramar</v>
          </cell>
        </row>
        <row r="116">
          <cell r="D116" t="str">
            <v>DOPI-FED-R23-IM-LP-189-2016</v>
          </cell>
          <cell r="T116" t="str">
            <v>Gustavo Alejandro</v>
          </cell>
          <cell r="U116" t="str">
            <v>Ledezma</v>
          </cell>
          <cell r="V116" t="str">
            <v xml:space="preserve"> Cervantes</v>
          </cell>
          <cell r="X116" t="str">
            <v>EPR131016I71</v>
          </cell>
          <cell r="AD116">
            <v>42704</v>
          </cell>
          <cell r="AL116" t="str">
            <v>Construcción de la primera etapa del centro comunitario, Centro de Emprendimiento, en Miramar, frente 2.</v>
          </cell>
          <cell r="AM116">
            <v>42705</v>
          </cell>
          <cell r="AN116">
            <v>42735</v>
          </cell>
          <cell r="AS116" t="str">
            <v>Colonia Miramar</v>
          </cell>
        </row>
        <row r="117">
          <cell r="D117" t="str">
            <v>DOPI-FED-PR-PAV-LP-190-2016</v>
          </cell>
          <cell r="T117" t="str">
            <v>Blanca Estela</v>
          </cell>
          <cell r="U117" t="str">
            <v>Moreno</v>
          </cell>
          <cell r="V117" t="str">
            <v>Lemus</v>
          </cell>
          <cell r="X117" t="str">
            <v>EPC7107236R1</v>
          </cell>
          <cell r="AD117">
            <v>42704</v>
          </cell>
          <cell r="AL117" t="str">
            <v>Pavimentación con concreto hidráulico de la Calle Rizo Ayala, incluye: red de agua potable y alcantarillado, alumbrado público y guarniciones, banquetas, renivelación de pozos y cajas, señalamiento horizontal y vertical, municipio de Zapopan, Jalisco.</v>
          </cell>
          <cell r="AM117">
            <v>42705</v>
          </cell>
          <cell r="AN117">
            <v>42735</v>
          </cell>
          <cell r="AS117" t="str">
            <v>Colonia La Martinica</v>
          </cell>
        </row>
        <row r="118">
          <cell r="D118" t="str">
            <v>DOPI-FED-PR-PAV-LP-191-2016</v>
          </cell>
          <cell r="T118" t="str">
            <v>Sergio Cesar</v>
          </cell>
          <cell r="U118" t="str">
            <v>Diaz</v>
          </cell>
          <cell r="V118" t="str">
            <v>Quiroz</v>
          </cell>
          <cell r="X118" t="str">
            <v>GUN880613NY1</v>
          </cell>
          <cell r="AD118">
            <v>42704</v>
          </cell>
          <cell r="AL118" t="str">
            <v>Reencarpetamiento de vialidad Calle Pípila con concreto hidráulico desde la Calle Felipe Ángeles a la Calle Rizo Ayala, incluye: guarniciones, banquetas, renivelación de pozos y cajas, señalamiento vertical y horizontal, Municipio de Zapopan, Jalisco</v>
          </cell>
          <cell r="AM118">
            <v>42705</v>
          </cell>
          <cell r="AN118">
            <v>42735</v>
          </cell>
          <cell r="AS118" t="str">
            <v>Colonia La Martinica</v>
          </cell>
        </row>
        <row r="119">
          <cell r="D119" t="str">
            <v>DOPI-FED-PR-PAV-LP-192-2016</v>
          </cell>
          <cell r="T119" t="str">
            <v>José</v>
          </cell>
          <cell r="U119" t="str">
            <v>Plascencia</v>
          </cell>
          <cell r="V119" t="str">
            <v>Casillas</v>
          </cell>
          <cell r="X119" t="str">
            <v>PPC980828SY4</v>
          </cell>
          <cell r="AD119">
            <v>42704</v>
          </cell>
          <cell r="AL119" t="str">
            <v>Reencarpetamiento de vialidad con concreto hidráulico Calle González Gallo desde la Av. Prolongación Federalismo al andador Rosario Guadalupe, incluye: guarniciones, banquetas, renivelaciones de pozos y cajas, señalamiento vertical y horizontal, Municipio de Zapopan, Jalisco.</v>
          </cell>
          <cell r="AM119">
            <v>42705</v>
          </cell>
          <cell r="AN119">
            <v>42735</v>
          </cell>
          <cell r="AS119" t="str">
            <v>Colonia Parque del Auditorio</v>
          </cell>
        </row>
        <row r="120">
          <cell r="D120" t="str">
            <v>DOPI-FED-PR-PAV-LP-193-2016</v>
          </cell>
          <cell r="T120" t="str">
            <v>Erick</v>
          </cell>
          <cell r="U120" t="str">
            <v>Villaseñor</v>
          </cell>
          <cell r="V120" t="str">
            <v>Gutiérrez</v>
          </cell>
          <cell r="X120" t="str">
            <v>PCO140829425</v>
          </cell>
          <cell r="AD120">
            <v>42704</v>
          </cell>
          <cell r="AL120" t="str">
            <v>Construcción de vialidad con concreto hidráulico en calle Ingeniero Alberto Mora López, desde la calle Elote a Carretera a Saltillo, incluye: guarniciones, banquetas, red de agua potable y alcantarillado y red de alumbrado público, zona las Mesas, municipio de Zapopan, Jalisco.</v>
          </cell>
          <cell r="AM120">
            <v>42705</v>
          </cell>
          <cell r="AN120">
            <v>42735</v>
          </cell>
          <cell r="AS120" t="str">
            <v>Colonia Mesa Colorada Oriente</v>
          </cell>
        </row>
        <row r="121">
          <cell r="D121" t="str">
            <v>DOPI-FED-SM-RS-LP-194-2016</v>
          </cell>
          <cell r="T121" t="str">
            <v>Héctor</v>
          </cell>
          <cell r="U121" t="str">
            <v>Gaytán</v>
          </cell>
          <cell r="V121" t="str">
            <v>Galicia</v>
          </cell>
          <cell r="X121" t="str">
            <v>SCS1301173MA</v>
          </cell>
          <cell r="AD121">
            <v>42704</v>
          </cell>
          <cell r="AL121" t="str">
            <v>Construcción de la celda V y primera fase del equipamiento de la planta de separación y alta compactación para el relleno sanitario Picachos del municipio de Zapopan, Jalisco.</v>
          </cell>
          <cell r="AM121">
            <v>42705</v>
          </cell>
          <cell r="AN121">
            <v>42735</v>
          </cell>
          <cell r="AS121" t="str">
            <v>Relleno Sanitario de Picachos</v>
          </cell>
        </row>
        <row r="122">
          <cell r="D122" t="str">
            <v>DOPI-EST-FC-IS-LP-195-2016</v>
          </cell>
          <cell r="T122" t="str">
            <v>Luis Armando</v>
          </cell>
          <cell r="U122" t="str">
            <v>Linares</v>
          </cell>
          <cell r="V122" t="str">
            <v>Cacho</v>
          </cell>
          <cell r="X122" t="str">
            <v>URC160310857</v>
          </cell>
          <cell r="AD122">
            <v>42726</v>
          </cell>
          <cell r="AL122" t="str">
            <v>Rehabilitación de Cruz Verde Federalismo, Municipio de Zapopan, Jalisco.</v>
          </cell>
          <cell r="AM122">
            <v>42727</v>
          </cell>
          <cell r="AN122">
            <v>42816</v>
          </cell>
          <cell r="AS122" t="str">
            <v>Colonia Auditorio</v>
          </cell>
        </row>
        <row r="123">
          <cell r="D123" t="str">
            <v>DOPI-EST-CR-IM-LP-196-2016</v>
          </cell>
          <cell r="T123" t="str">
            <v>José Antonio</v>
          </cell>
          <cell r="U123" t="str">
            <v>Álvarez</v>
          </cell>
          <cell r="V123" t="str">
            <v>García</v>
          </cell>
          <cell r="X123" t="str">
            <v>UMN160125869</v>
          </cell>
          <cell r="AD123">
            <v>42726</v>
          </cell>
          <cell r="AL123" t="str">
            <v>Construcción del Centro Cultural en Villa de Guadalupe.</v>
          </cell>
          <cell r="AM123">
            <v>42727</v>
          </cell>
          <cell r="AN123">
            <v>42846</v>
          </cell>
          <cell r="AS123" t="str">
            <v>Colonia Villa de Guadalupe</v>
          </cell>
        </row>
        <row r="124">
          <cell r="D124" t="str">
            <v>DOPI‐MUN‐PP‐EP‐CI‐198‐2016</v>
          </cell>
          <cell r="T124" t="str">
            <v>Amalia</v>
          </cell>
          <cell r="U124" t="str">
            <v>Moreno</v>
          </cell>
          <cell r="V124" t="str">
            <v>Maldonado</v>
          </cell>
          <cell r="X124" t="str">
            <v>GCM020226F28</v>
          </cell>
          <cell r="AD124">
            <v>42727</v>
          </cell>
          <cell r="AL124" t="str">
            <v>Mejoramiento de la imagen urbana de la plaza pública de localidad de Tesistán municipio de Zapopan, Jalisco.</v>
          </cell>
          <cell r="AM124">
            <v>42730</v>
          </cell>
          <cell r="AN124">
            <v>42831</v>
          </cell>
          <cell r="AS124" t="str">
            <v>Localidad de Tesistán</v>
          </cell>
        </row>
        <row r="125">
          <cell r="D125" t="str">
            <v>DOPI‐MUN‐PP‐IS‐LP‐199‐2016</v>
          </cell>
          <cell r="T125" t="str">
            <v>Ernesto</v>
          </cell>
          <cell r="U125" t="str">
            <v>Olivares</v>
          </cell>
          <cell r="V125" t="str">
            <v>Álvarez</v>
          </cell>
          <cell r="X125" t="str">
            <v>SMJ090317FS9</v>
          </cell>
          <cell r="AD125">
            <v>42754</v>
          </cell>
          <cell r="AL125" t="str">
            <v>Construcción de la cruz verde Villa de Guadalupe, en la zona de las mesas, municipio de Zapopan, Jalisco.</v>
          </cell>
          <cell r="AM125">
            <v>42755</v>
          </cell>
          <cell r="AN125">
            <v>42874</v>
          </cell>
          <cell r="AS125" t="str">
            <v>Zona de Las Mesas</v>
          </cell>
        </row>
        <row r="126">
          <cell r="D126" t="str">
            <v>DOPI-MUN-PP-ID-CI-200-2016</v>
          </cell>
          <cell r="T126" t="str">
            <v>Carlos Alberto</v>
          </cell>
          <cell r="U126" t="str">
            <v>Villaseñor</v>
          </cell>
          <cell r="V126" t="str">
            <v>Núñez</v>
          </cell>
          <cell r="X126" t="str">
            <v>MME011214IV5</v>
          </cell>
          <cell r="AD126">
            <v>42727</v>
          </cell>
          <cell r="AL126" t="str">
            <v>Rehabilitación de las instalaciones y equipamiento deportivo de la Unidad Deportiva Lomas de Tabachines, municipio de Zapopan, Jalisco.</v>
          </cell>
          <cell r="AM126">
            <v>42730</v>
          </cell>
          <cell r="AN126">
            <v>42820</v>
          </cell>
          <cell r="AS126" t="str">
            <v>Colonia Lomas de Tabachines</v>
          </cell>
        </row>
        <row r="127">
          <cell r="D127" t="str">
            <v>DOPI-MUN-RM-ID-CI-201-2016</v>
          </cell>
          <cell r="T127" t="str">
            <v>Juan José</v>
          </cell>
          <cell r="U127" t="str">
            <v>Gutiérrez</v>
          </cell>
          <cell r="V127" t="str">
            <v>Contreras</v>
          </cell>
          <cell r="X127" t="str">
            <v>RCO130920JX9</v>
          </cell>
          <cell r="AD127">
            <v>42727</v>
          </cell>
          <cell r="AL127" t="str">
            <v>Rehabilitación de las instalaciones y equipamiento deportivo de la Unidad Deportiva Santa María del Pueblito, municipio de Zapopan, Jalisco.</v>
          </cell>
          <cell r="AM127">
            <v>42730</v>
          </cell>
          <cell r="AN127">
            <v>42850</v>
          </cell>
          <cell r="AS127" t="str">
            <v>Colonia Santa Maria del Pueblito</v>
          </cell>
        </row>
        <row r="128">
          <cell r="D128" t="str">
            <v>DOPI-EST-CM-PAV-LP-202-2016</v>
          </cell>
          <cell r="T128" t="str">
            <v>Ignacio Javier</v>
          </cell>
          <cell r="U128" t="str">
            <v>Curiel</v>
          </cell>
          <cell r="V128" t="str">
            <v>Dueñas</v>
          </cell>
          <cell r="X128" t="str">
            <v>TCM100915HA1</v>
          </cell>
          <cell r="AD128">
            <v>42754</v>
          </cell>
          <cell r="AL128" t="str">
            <v>Renovación urbana en área habitacional y de zona comercial del Andador 20 de Noviembre en el Centro de Zapopan, Jalisco.</v>
          </cell>
          <cell r="AM128">
            <v>42755</v>
          </cell>
          <cell r="AN128">
            <v>42834</v>
          </cell>
          <cell r="AS128" t="str">
            <v>Zapopan Centro</v>
          </cell>
        </row>
        <row r="129">
          <cell r="D129" t="str">
            <v>DOPI-EST-CM-PAV-LP-203-2016</v>
          </cell>
          <cell r="T129" t="str">
            <v>Felipe Daniel</v>
          </cell>
          <cell r="U129" t="str">
            <v>Nuñez</v>
          </cell>
          <cell r="V129" t="str">
            <v>Hernández</v>
          </cell>
          <cell r="X129" t="str">
            <v>GCF8504255B8</v>
          </cell>
          <cell r="AD129">
            <v>42754</v>
          </cell>
          <cell r="AL129" t="str">
            <v>Renovación urbana de área habitacional y de zona comercial de laterales de Av. Aviación, del tramo de Juan Gil Preciado a Camino Antiguo a Tesistán, en Zapopan, Jalisco.</v>
          </cell>
          <cell r="AM129">
            <v>42755</v>
          </cell>
          <cell r="AN129">
            <v>42834</v>
          </cell>
          <cell r="AS129" t="str">
            <v>Col. Nuevo México</v>
          </cell>
        </row>
        <row r="130">
          <cell r="D130" t="str">
            <v>DOPI-EST-CM-PAV-LP-204-2016</v>
          </cell>
          <cell r="T130" t="str">
            <v>Andrés Eduardo</v>
          </cell>
          <cell r="U130" t="str">
            <v>Aceves</v>
          </cell>
          <cell r="V130" t="str">
            <v>Castañeda</v>
          </cell>
          <cell r="X130" t="str">
            <v>SCO100609EVA</v>
          </cell>
          <cell r="AD130">
            <v>42754</v>
          </cell>
          <cell r="AL130" t="str">
            <v>Renovación urbana de área habitacional y de zona comercial de Av. Aviación, del tramo del Ingreso de Base Aérea No. 2 a Camino Antiguo a Tesistán, en Zapopan, Jalisco.</v>
          </cell>
          <cell r="AM130">
            <v>42755</v>
          </cell>
          <cell r="AN130">
            <v>42834</v>
          </cell>
          <cell r="AS130" t="str">
            <v>Col. Nuevo México</v>
          </cell>
        </row>
        <row r="131">
          <cell r="D131" t="str">
            <v>DOPI-EST-CM-PAV-LP-205-2016</v>
          </cell>
          <cell r="T131" t="str">
            <v>Mario</v>
          </cell>
          <cell r="U131" t="str">
            <v>Beltrán</v>
          </cell>
          <cell r="V131" t="str">
            <v>Rodríguez</v>
          </cell>
          <cell r="X131" t="str">
            <v>CDB0506068Z4</v>
          </cell>
          <cell r="AD131">
            <v>42754</v>
          </cell>
          <cell r="AL131" t="str">
            <v>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v>
          </cell>
          <cell r="AM131">
            <v>42755</v>
          </cell>
          <cell r="AN131">
            <v>42834</v>
          </cell>
          <cell r="AS131" t="str">
            <v>Col. San Juan de Ocotán</v>
          </cell>
        </row>
        <row r="132">
          <cell r="D132" t="str">
            <v>DOPI-MUN-RM-ID-CI-206-2016</v>
          </cell>
          <cell r="T132" t="str">
            <v>Apolinar</v>
          </cell>
          <cell r="U132" t="str">
            <v>Gómez</v>
          </cell>
          <cell r="V132" t="str">
            <v>Alonso</v>
          </cell>
          <cell r="X132" t="str">
            <v>ETT9302049B2</v>
          </cell>
          <cell r="AD132">
            <v>42727</v>
          </cell>
          <cell r="AL132" t="str">
            <v>Rehabilitación de las instalaciones y equipamiento deportivo de la Unidad Deportiva Miguel de la Madrid, municipio de Zapopan, Jalisco.</v>
          </cell>
          <cell r="AM132">
            <v>42730</v>
          </cell>
          <cell r="AN132">
            <v>42850</v>
          </cell>
          <cell r="AS132" t="str">
            <v>Colonia Miguel de la Madrid</v>
          </cell>
        </row>
        <row r="133">
          <cell r="D133" t="str">
            <v>DOPI-MUN-RM-ID-CI-207-2016</v>
          </cell>
          <cell r="T133" t="str">
            <v xml:space="preserve">Leobardo </v>
          </cell>
          <cell r="U133" t="str">
            <v>Preciado</v>
          </cell>
          <cell r="V133" t="str">
            <v>Zepeda</v>
          </cell>
          <cell r="X133" t="str">
            <v>CCA971126QC9</v>
          </cell>
          <cell r="AD133">
            <v>42727</v>
          </cell>
          <cell r="AL133" t="str">
            <v>Rehabilitación de las instalaciones y equipamiento deportivo de la Unidad Deportiva Villas de Guadalupe, municipio de Zapopan, Jalisco.</v>
          </cell>
          <cell r="AM133">
            <v>42730</v>
          </cell>
          <cell r="AN133">
            <v>42850</v>
          </cell>
          <cell r="AS133" t="str">
            <v>Colonia Villa de Guadalupe</v>
          </cell>
        </row>
        <row r="134">
          <cell r="D134" t="str">
            <v>DOPI-MUN-RM-ID-CI-208-2016</v>
          </cell>
          <cell r="T134" t="str">
            <v>David</v>
          </cell>
          <cell r="U134" t="str">
            <v>Hernández</v>
          </cell>
          <cell r="V134" t="str">
            <v>Flores</v>
          </cell>
          <cell r="X134" t="str">
            <v>CSS8303089S9</v>
          </cell>
          <cell r="AD134">
            <v>42727</v>
          </cell>
          <cell r="AL134" t="str">
            <v>Rehabilitación de las instalaciones y equipamiento deportivo de la Unidad Deportiva Santa Margarita, municipio de Zapopan, Jalisco.</v>
          </cell>
          <cell r="AM134">
            <v>42730</v>
          </cell>
          <cell r="AN134">
            <v>42850</v>
          </cell>
          <cell r="AS134" t="str">
            <v>Colonia Santa Margarita</v>
          </cell>
        </row>
        <row r="135">
          <cell r="D135" t="str">
            <v>DOPI-MUN-RM-PAV-CI-209-2016</v>
          </cell>
          <cell r="T135" t="str">
            <v>Jorge Alfredo</v>
          </cell>
          <cell r="U135" t="str">
            <v>Ochoa</v>
          </cell>
          <cell r="V135" t="str">
            <v>González</v>
          </cell>
          <cell r="X135" t="str">
            <v>AED890925181</v>
          </cell>
          <cell r="AD135">
            <v>42727</v>
          </cell>
          <cell r="AL135" t="str">
            <v>Construcción de pavimento de concreto hidráulico MR-45 y jardinería, en la Glorieta Venustiano Carranza en la colonia Constitución, municipio de Zapopan, Jalisco</v>
          </cell>
          <cell r="AM135">
            <v>42730</v>
          </cell>
          <cell r="AN135">
            <v>42762</v>
          </cell>
          <cell r="AS135" t="str">
            <v>Colonia Constitución</v>
          </cell>
        </row>
        <row r="136">
          <cell r="D136" t="str">
            <v>DOPI-MUN-RM-PAV-CI-210-2016</v>
          </cell>
          <cell r="T136" t="str">
            <v>Elvia Alejandra</v>
          </cell>
          <cell r="U136" t="str">
            <v>Torres</v>
          </cell>
          <cell r="V136" t="str">
            <v>Villa</v>
          </cell>
          <cell r="X136" t="str">
            <v>PRO0205208F2</v>
          </cell>
          <cell r="AD136">
            <v>42727</v>
          </cell>
          <cell r="AL136" t="str">
            <v>Construcción de pavimento de concreto hidráulico, red de agua potable, alcantarillado sanitario, alumbrado público, banquetas, señalamiento vertical y horizontal, de la Prol. Laureles de Av. Del Rodeo a Periférico Norte Manuel Gómez Morín, municipio de Zapopan, Jalisco.</v>
          </cell>
          <cell r="AM136">
            <v>42730</v>
          </cell>
          <cell r="AN136">
            <v>42820</v>
          </cell>
          <cell r="AS136" t="str">
            <v>Colonia Belenes Norte</v>
          </cell>
        </row>
        <row r="137">
          <cell r="D137" t="str">
            <v>DOPI-MUN-RM-AP-CI-211-2016</v>
          </cell>
          <cell r="T137" t="str">
            <v>Rosalba Edilia</v>
          </cell>
          <cell r="U137" t="str">
            <v>Sandoval</v>
          </cell>
          <cell r="V137" t="str">
            <v>Huizar</v>
          </cell>
          <cell r="X137" t="str">
            <v>ISM0112209Y5</v>
          </cell>
          <cell r="AD137">
            <v>42727</v>
          </cell>
          <cell r="AL137" t="str">
            <v>Construcción de línea de agua potable, drenaje sanitario, preparación para instalaciones de Telmex y CFE, pozos de absorción, en la Glorieta Venustiano Carranza en la colonia Constitución, municipio de Zapopan, Jalisco</v>
          </cell>
          <cell r="AM137">
            <v>42730</v>
          </cell>
          <cell r="AN137">
            <v>42760</v>
          </cell>
          <cell r="AS137" t="str">
            <v>Colonia Constitución</v>
          </cell>
        </row>
        <row r="138">
          <cell r="D138" t="str">
            <v>DOPI-FED-HAB-PAV-CI-214-2016</v>
          </cell>
          <cell r="T138" t="str">
            <v>Miguel Ángel</v>
          </cell>
          <cell r="U138" t="str">
            <v>Romero</v>
          </cell>
          <cell r="V138" t="str">
            <v>Lugo</v>
          </cell>
          <cell r="X138" t="str">
            <v>OCC940714PB0</v>
          </cell>
          <cell r="AD138">
            <v>42717</v>
          </cell>
          <cell r="AG138">
            <v>6282745.2800000003</v>
          </cell>
          <cell r="AL138" t="str">
            <v>Pavimentación de concreto hidráulico en la calle Casiano Torres Poniente, municipio de Zapopan, Jalisco.</v>
          </cell>
          <cell r="AM138">
            <v>42718</v>
          </cell>
          <cell r="AN138">
            <v>42735</v>
          </cell>
          <cell r="AS138" t="str">
            <v>Colonia Vista Hermosa</v>
          </cell>
        </row>
        <row r="139">
          <cell r="D139" t="str">
            <v>DOPI-MUN-RM-IM-CI-225-2016</v>
          </cell>
          <cell r="T139" t="str">
            <v>Edgardo</v>
          </cell>
          <cell r="U139" t="str">
            <v>Zúñiga</v>
          </cell>
          <cell r="V139" t="str">
            <v>Beristaín</v>
          </cell>
          <cell r="X139" t="str">
            <v>PIZ070717DX6</v>
          </cell>
          <cell r="AD139">
            <v>42727</v>
          </cell>
          <cell r="AG139">
            <v>2484449.75</v>
          </cell>
          <cell r="AL139" t="str">
            <v>Rehabilitación de la Unidad Administrativa Las Águilas (cubierta, pintura, instalaciones eléctricas, instalaciones hidráulicas, nave central, impermeabilización, accesibilidad, baños, puertas de acceso principal) Frente 2</v>
          </cell>
          <cell r="AM139">
            <v>42730</v>
          </cell>
          <cell r="AN139">
            <v>42820</v>
          </cell>
        </row>
        <row r="140">
          <cell r="D140" t="str">
            <v>DOPI-MUN-RM-MOV-CI-226-2016</v>
          </cell>
          <cell r="T140" t="str">
            <v>Bernardo</v>
          </cell>
          <cell r="U140" t="str">
            <v>Saenz</v>
          </cell>
          <cell r="V140" t="str">
            <v>Barba</v>
          </cell>
          <cell r="X140" t="str">
            <v>GEM070112PX8</v>
          </cell>
          <cell r="AD140">
            <v>42727</v>
          </cell>
          <cell r="AG140">
            <v>3949999.31</v>
          </cell>
          <cell r="AL140" t="str">
            <v>Rehabilitación de ciclovía Santa Margarita e iluminación, municipio de Zapopan, Jalisco.</v>
          </cell>
          <cell r="AM140">
            <v>42730</v>
          </cell>
          <cell r="AN140">
            <v>42820</v>
          </cell>
        </row>
        <row r="141">
          <cell r="B141" t="str">
            <v>Licitación por Invitación Restringida</v>
          </cell>
          <cell r="D141" t="str">
            <v>DOPI-MUN-R33-AP-CI-228-2016</v>
          </cell>
          <cell r="T141" t="str">
            <v>Karla Mariana</v>
          </cell>
          <cell r="U141" t="str">
            <v>Méndez</v>
          </cell>
          <cell r="V141" t="str">
            <v>Rodríguez</v>
          </cell>
          <cell r="X141" t="str">
            <v>GFU021009BC1</v>
          </cell>
          <cell r="AD141">
            <v>42727</v>
          </cell>
          <cell r="AG141">
            <v>6196741.5800000001</v>
          </cell>
          <cell r="AL141" t="str">
            <v xml:space="preserve">Perforación y equipamiento de pozo en la localidad de Los Patios, en el municipio de Zapopan, Jalisco. </v>
          </cell>
          <cell r="AM141">
            <v>42730</v>
          </cell>
          <cell r="AN141">
            <v>42850</v>
          </cell>
          <cell r="AS141" t="str">
            <v>Localidad Los Patios</v>
          </cell>
        </row>
        <row r="142">
          <cell r="B142" t="str">
            <v>Licitación por Invitación Restringida</v>
          </cell>
          <cell r="D142" t="str">
            <v>DOPI-MUN-R33-AP-CI-229-2016</v>
          </cell>
          <cell r="T142" t="str">
            <v>José Antonio</v>
          </cell>
          <cell r="U142" t="str">
            <v>Álvarez</v>
          </cell>
          <cell r="V142" t="str">
            <v>García</v>
          </cell>
          <cell r="X142" t="str">
            <v>UMN160125869</v>
          </cell>
          <cell r="AD142">
            <v>42727</v>
          </cell>
          <cell r="AG142">
            <v>3453426.13</v>
          </cell>
          <cell r="AL142" t="str">
            <v>Construcción de línea de conducción de agua potable de 3" de tubería galvanizada, en la localidad San José, en el municipio de Zapopan, Jalisco.</v>
          </cell>
          <cell r="AM142">
            <v>42730</v>
          </cell>
          <cell r="AN142">
            <v>42850</v>
          </cell>
          <cell r="AS142" t="str">
            <v>Localidad San José</v>
          </cell>
        </row>
        <row r="143">
          <cell r="B143" t="str">
            <v>Licitación por Invitación Restringida</v>
          </cell>
          <cell r="D143" t="str">
            <v>DOPI-MUN-R33-AP-CI-230-2016</v>
          </cell>
          <cell r="T143" t="str">
            <v>Ernesto</v>
          </cell>
          <cell r="U143" t="str">
            <v>Zamora</v>
          </cell>
          <cell r="V143" t="str">
            <v>Corona</v>
          </cell>
          <cell r="X143" t="str">
            <v>KIC040617JIA</v>
          </cell>
          <cell r="AD143">
            <v>42727</v>
          </cell>
          <cell r="AG143">
            <v>1996402.43</v>
          </cell>
          <cell r="AL143" t="str">
            <v>Construcción de línea de agua potable en la Carretera a San Esteban de Carretera a Saltillo a calle Norte, en la localidad de San Isidro, en el municipio de Zapopan, Jalisco.</v>
          </cell>
          <cell r="AM143">
            <v>42730</v>
          </cell>
          <cell r="AN143">
            <v>42820</v>
          </cell>
          <cell r="AS143" t="str">
            <v>Localidad San Isidro</v>
          </cell>
        </row>
        <row r="144">
          <cell r="B144" t="str">
            <v>Licitación por Invitación Restringida</v>
          </cell>
          <cell r="D144" t="str">
            <v>DOPI-MUN-R33-AP-CI-231-2016</v>
          </cell>
          <cell r="T144" t="str">
            <v>Adalberto</v>
          </cell>
          <cell r="U144" t="str">
            <v>Medina</v>
          </cell>
          <cell r="V144" t="str">
            <v>Morales</v>
          </cell>
          <cell r="X144" t="str">
            <v>URD130830U21</v>
          </cell>
          <cell r="AD144">
            <v>42727</v>
          </cell>
          <cell r="AG144">
            <v>3589467.88</v>
          </cell>
          <cell r="AL144" t="str">
            <v>Construcción de la primera etapa de línea de agua potable en la colonia Colinas del Rio, en el municipio de Zapopan, Jalisco.</v>
          </cell>
          <cell r="AM144">
            <v>42730</v>
          </cell>
          <cell r="AN144">
            <v>42850</v>
          </cell>
          <cell r="AS144" t="str">
            <v>Colonia Colinas del Rio</v>
          </cell>
        </row>
        <row r="145">
          <cell r="B145" t="str">
            <v>Licitación por Invitación Restringida</v>
          </cell>
          <cell r="D145" t="str">
            <v>DOPI-MUN-R33-PAV-CI-232-2016</v>
          </cell>
          <cell r="T145" t="str">
            <v>Edwin</v>
          </cell>
          <cell r="U145" t="str">
            <v>Aguiar</v>
          </cell>
          <cell r="V145" t="str">
            <v>Escatel</v>
          </cell>
          <cell r="X145" t="str">
            <v>MUR090325P33</v>
          </cell>
          <cell r="AD145">
            <v>42727</v>
          </cell>
          <cell r="AG145">
            <v>3867999.72</v>
          </cell>
          <cell r="AL145" t="str">
            <v>Pavimentación con concreto hidráulico, línea de agua potable, drenaje sanitario y alumbrado público, en la calle Abel Salgado, de Carretera a Saltillo a calle Ojo de Agua, en la colonia Agua Fría, municipio de Zapopan Jalisco, frente 1.</v>
          </cell>
          <cell r="AM145">
            <v>42730</v>
          </cell>
          <cell r="AN145">
            <v>42880</v>
          </cell>
          <cell r="AS145" t="str">
            <v>Colonia Agua Fria</v>
          </cell>
        </row>
        <row r="146">
          <cell r="B146" t="str">
            <v>Licitación por Invitación Restringida</v>
          </cell>
          <cell r="D146" t="str">
            <v>DOPI-MUN-R33-PAV-CI-233-2016</v>
          </cell>
          <cell r="T146" t="str">
            <v>Clarissa Gabriela</v>
          </cell>
          <cell r="U146" t="str">
            <v>Valdez</v>
          </cell>
          <cell r="V146" t="str">
            <v>Manjarrez</v>
          </cell>
          <cell r="X146" t="str">
            <v>TGE101215JI6</v>
          </cell>
          <cell r="AD146">
            <v>42727</v>
          </cell>
          <cell r="AG146">
            <v>3638106.52</v>
          </cell>
          <cell r="AL146" t="str">
            <v>Pavimentación con concreto hidráulico, línea de agua potable, drenaje sanitario y alumbrado público,  en la calle Abel Salgado, de Carretera a Saltillo a calle Ojo de Agua, en la colonia Agua Fría, municipio de Zapopan Jalisco, frente 2.</v>
          </cell>
          <cell r="AM146">
            <v>42730</v>
          </cell>
          <cell r="AN146">
            <v>42880</v>
          </cell>
          <cell r="AS146" t="str">
            <v>Colonia Agua Fria</v>
          </cell>
        </row>
        <row r="147">
          <cell r="B147" t="str">
            <v>Licitación por Invitación Restringida</v>
          </cell>
          <cell r="D147" t="str">
            <v>DOPI-MUN-R33-PAV-CI-238-2016</v>
          </cell>
          <cell r="T147" t="str">
            <v>Hugo Armando</v>
          </cell>
          <cell r="U147" t="str">
            <v>Prieto</v>
          </cell>
          <cell r="V147" t="str">
            <v>Jiménez</v>
          </cell>
          <cell r="X147" t="str">
            <v>CRP870708I62</v>
          </cell>
          <cell r="AD147">
            <v>42727</v>
          </cell>
          <cell r="AG147">
            <v>2216780.09</v>
          </cell>
          <cell r="AL147" t="str">
            <v>Pavimentación con empedrado zampeado en la calle Mármol, de calle Cantera al arroyo y calle Obsidiana, de calle Opalo a calle Coral, en la colonia Pedregal de Zapopan (Loma el Pedregal), en Zapopan, Jalisco</v>
          </cell>
          <cell r="AM147">
            <v>42730</v>
          </cell>
          <cell r="AN147">
            <v>42880</v>
          </cell>
          <cell r="AS147" t="str">
            <v>Colonia Loma el Pedregal</v>
          </cell>
        </row>
        <row r="148">
          <cell r="D148" t="str">
            <v>DOPI-MUN-RM-PAV-CI-001-2017</v>
          </cell>
          <cell r="T148" t="str">
            <v>Antonio</v>
          </cell>
          <cell r="U148" t="str">
            <v>Chávez</v>
          </cell>
          <cell r="V148" t="str">
            <v>Navarro</v>
          </cell>
          <cell r="X148" t="str">
            <v>CIC960718BW4</v>
          </cell>
          <cell r="AD148">
            <v>42790</v>
          </cell>
          <cell r="AL148" t="str">
            <v>Rehabilitación del camino a Copalita en el tramo de la Carretera a Colotlán a Copalita (Km. 0+000 al Km. 2+000), muncipio de Zapopan, Jalisco.</v>
          </cell>
          <cell r="AM148">
            <v>42791</v>
          </cell>
          <cell r="AN148">
            <v>42835</v>
          </cell>
        </row>
        <row r="149">
          <cell r="D149" t="str">
            <v>DOPI-MUN-RM-ELE-CI-002-2017</v>
          </cell>
          <cell r="T149" t="str">
            <v>Pia Lorena</v>
          </cell>
          <cell r="U149" t="str">
            <v>Buenrostro</v>
          </cell>
          <cell r="V149" t="str">
            <v>Ahued</v>
          </cell>
          <cell r="X149" t="str">
            <v>BCO070129512</v>
          </cell>
          <cell r="AD149">
            <v>42790</v>
          </cell>
          <cell r="AL149" t="str">
            <v>Primera etapa de la rehabilitación de la red de media y baja tensión, alumbrado público, en la colonia Constitución, municipio de Zapopan, Jalisco.</v>
          </cell>
          <cell r="AM149">
            <v>42791</v>
          </cell>
          <cell r="AN149">
            <v>42835</v>
          </cell>
          <cell r="AS149" t="str">
            <v>Col. Constitución</v>
          </cell>
        </row>
        <row r="150">
          <cell r="D150" t="str">
            <v>DOPI-MUN-RM-EP-CI-003-2017</v>
          </cell>
          <cell r="T150" t="str">
            <v xml:space="preserve">Eduardo </v>
          </cell>
          <cell r="U150" t="str">
            <v>Plascencia</v>
          </cell>
          <cell r="V150" t="str">
            <v>Macias</v>
          </cell>
          <cell r="X150" t="str">
            <v>CEP080129EK6</v>
          </cell>
          <cell r="AD150">
            <v>42790</v>
          </cell>
          <cell r="AL150" t="str">
            <v>Rehabilitación de la Unidad Administrativa Las Aguilas (cubierta, pintura, instalaciones eléctricas, instalaciones hidráulicas, nave central, impermeabilización, accesibilidad, baños, puertas de acceso principal), municipio de Zapopan, Jalisco.</v>
          </cell>
          <cell r="AM150">
            <v>42791</v>
          </cell>
          <cell r="AN150">
            <v>42850</v>
          </cell>
          <cell r="AS150" t="str">
            <v>Col. Las Aguilas</v>
          </cell>
        </row>
        <row r="151">
          <cell r="D151" t="str">
            <v>DOPI-MUN-FORTA-BAN-CI-041-2017</v>
          </cell>
          <cell r="T151" t="str">
            <v>Omar</v>
          </cell>
          <cell r="U151" t="str">
            <v>Mora</v>
          </cell>
          <cell r="V151" t="str">
            <v>Montes de Oca</v>
          </cell>
          <cell r="X151" t="str">
            <v>DCO130215C16</v>
          </cell>
          <cell r="AD151">
            <v>42877</v>
          </cell>
          <cell r="AL151" t="str">
            <v>Peatonalización (banquetas y obras de accesibilidad) del área de influencia de escuelas, hospitales, mercados, centros culturales, plazas públicas y clínicas, municipio de Zapopan, Jalisco, Frente 1.</v>
          </cell>
          <cell r="AS151" t="str">
            <v>Col. Lomas de Tabachines, Jardines del Valle, El Vigia, Misión del Bosque</v>
          </cell>
        </row>
        <row r="152">
          <cell r="D152" t="str">
            <v>DOPI-MUN-FORTA-BAN-CI-042-2017</v>
          </cell>
          <cell r="T152" t="str">
            <v>Elba</v>
          </cell>
          <cell r="U152" t="str">
            <v xml:space="preserve">González </v>
          </cell>
          <cell r="V152" t="str">
            <v>Aguirre</v>
          </cell>
          <cell r="X152" t="str">
            <v>GUR120612P22</v>
          </cell>
          <cell r="AD152">
            <v>42877</v>
          </cell>
          <cell r="AL152" t="str">
            <v>Peatonalización (banquetas y obras de accesibilidad) del área de influencia de escuelas, hospitales, mercados, centros culturales, plazas públicas y clínicas, municipio de Zapopan, Jalisco, Frente 2.</v>
          </cell>
          <cell r="AS152" t="str">
            <v>Col. Nextipac, Mariano Otero</v>
          </cell>
        </row>
        <row r="153">
          <cell r="D153" t="str">
            <v>DOPI-MUN-RM-IH-CI-043-2017</v>
          </cell>
          <cell r="T153" t="str">
            <v xml:space="preserve">Marco Antonio </v>
          </cell>
          <cell r="U153" t="str">
            <v>Lozano</v>
          </cell>
          <cell r="V153" t="str">
            <v>Estrada</v>
          </cell>
          <cell r="X153" t="str">
            <v>DFU090928JB5</v>
          </cell>
          <cell r="AD153">
            <v>42868</v>
          </cell>
          <cell r="AL153" t="str">
            <v>Construcción de estructuras de llegada, demasías, de acceso y de control e instalación de gaviones en el estanque de retención de agua pluviales para mitigar riesgo de inundaciones en Santa María del Pueblito, municipio de Zapopan, Jalisco.</v>
          </cell>
          <cell r="AS153" t="str">
            <v>Col. Santa Maria del Pueblito</v>
          </cell>
        </row>
        <row r="154">
          <cell r="D154" t="str">
            <v>DOPI-MUN-RM-IH-CI-044-2017</v>
          </cell>
          <cell r="T154" t="str">
            <v>Claudio Felipe</v>
          </cell>
          <cell r="U154" t="str">
            <v>Trujillo</v>
          </cell>
          <cell r="V154" t="str">
            <v>Gracián</v>
          </cell>
          <cell r="X154" t="str">
            <v>DLU100818F46</v>
          </cell>
          <cell r="AD154">
            <v>42868</v>
          </cell>
          <cell r="AL154" t="str">
            <v>Construcción colector de alejamiento del vaso regulador de Santa María del Pueblito, municipio de Zapopan, Jalisco.</v>
          </cell>
          <cell r="AS154" t="str">
            <v>Col. Santa Maria del Pueblito</v>
          </cell>
        </row>
        <row r="155">
          <cell r="D155" t="str">
            <v>DOPI-MUN-RM-PAV-CI-045-2017</v>
          </cell>
          <cell r="T155" t="str">
            <v>Sergio Alberto</v>
          </cell>
          <cell r="U155" t="str">
            <v>Baylon</v>
          </cell>
          <cell r="V155" t="str">
            <v>Moreno</v>
          </cell>
          <cell r="X155" t="str">
            <v>EEC9909173A7</v>
          </cell>
          <cell r="AD155">
            <v>42868</v>
          </cell>
          <cell r="AL155" t="str">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v>
          </cell>
          <cell r="AS155" t="str">
            <v>Col. El Tigre</v>
          </cell>
        </row>
        <row r="156">
          <cell r="D156" t="str">
            <v>DOPI-MUN-RM-PAV-CI-046-2017</v>
          </cell>
          <cell r="T156" t="str">
            <v>Luis Armando</v>
          </cell>
          <cell r="U156" t="str">
            <v>Linares</v>
          </cell>
          <cell r="V156" t="str">
            <v>Cacho</v>
          </cell>
          <cell r="X156" t="str">
            <v>URC160310857</v>
          </cell>
          <cell r="AD156">
            <v>42868</v>
          </cell>
          <cell r="AL156" t="str">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v>
          </cell>
          <cell r="AS156" t="str">
            <v>Col. El Tigre</v>
          </cell>
        </row>
        <row r="157">
          <cell r="D157" t="str">
            <v>DOPI-MUN-RM-PAV-CI-047-2017</v>
          </cell>
          <cell r="T157" t="str">
            <v>Miguel Ángel</v>
          </cell>
          <cell r="U157" t="str">
            <v>Romero</v>
          </cell>
          <cell r="V157" t="str">
            <v>Lugo</v>
          </cell>
          <cell r="X157" t="str">
            <v>OCC940714PB0</v>
          </cell>
          <cell r="AD157">
            <v>42868</v>
          </cell>
          <cell r="AL157" t="str">
            <v>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v>
          </cell>
          <cell r="AS157" t="str">
            <v>Col. La Martinica</v>
          </cell>
        </row>
        <row r="158">
          <cell r="D158" t="str">
            <v>DOPI-MUN-RM-PAV-CI-048-2017</v>
          </cell>
          <cell r="T158" t="str">
            <v>Victor</v>
          </cell>
          <cell r="U158" t="str">
            <v>Zayas</v>
          </cell>
          <cell r="V158" t="str">
            <v>Riquelme</v>
          </cell>
          <cell r="X158" t="str">
            <v>GIC810323RA6</v>
          </cell>
          <cell r="AD158">
            <v>42868</v>
          </cell>
          <cell r="AL158" t="str">
            <v>Construcción de puente vehicular y adecuaciones pluviales sobre El Arroyo Seco, en la colonia El Briseño, municipio de Zapopan, Jalisco.</v>
          </cell>
          <cell r="AS158" t="str">
            <v>Col. El Briseño</v>
          </cell>
        </row>
        <row r="159">
          <cell r="D159" t="str">
            <v>DOPI-MUN-RM-EP-LP-049-2017</v>
          </cell>
          <cell r="T159" t="str">
            <v>Ignacio Javier</v>
          </cell>
          <cell r="U159" t="str">
            <v>Curiel</v>
          </cell>
          <cell r="V159" t="str">
            <v>Dueñas</v>
          </cell>
          <cell r="X159" t="str">
            <v>TCM100915HA1</v>
          </cell>
          <cell r="AD159">
            <v>42893</v>
          </cell>
          <cell r="AL159" t="str">
            <v>Construcción de Fuente interactiva en plaza Las Américas, municipio de Zapopan, Jalisco.</v>
          </cell>
          <cell r="AS159" t="str">
            <v>Col. Centro</v>
          </cell>
        </row>
        <row r="160">
          <cell r="D160" t="str">
            <v>DOPI-MUN-RM-PAV-LP-050-2017</v>
          </cell>
          <cell r="T160" t="str">
            <v>ENRIQUE</v>
          </cell>
          <cell r="U160" t="str">
            <v>LUGO</v>
          </cell>
          <cell r="V160" t="str">
            <v>IBARRA</v>
          </cell>
          <cell r="X160" t="str">
            <v>CMI110222AA0</v>
          </cell>
          <cell r="AD160">
            <v>42893</v>
          </cell>
          <cell r="AL160" t="str">
            <v>Pavimentación con concreto hidráulico en la colonia El Rehilete, incluye: agua potable, drenaje sanitario, guarniciones, banquetas, accesibilidad, media tensión y servicios complementarios, en el municipio de Zapopan, Jalisco, frente 1.</v>
          </cell>
          <cell r="AS160" t="str">
            <v>Col. El Rehilete</v>
          </cell>
        </row>
        <row r="161">
          <cell r="D161" t="str">
            <v>DOPI-MUN-RM-PAV-LP-051-2017</v>
          </cell>
          <cell r="T161" t="str">
            <v>Sergio Cesar</v>
          </cell>
          <cell r="U161" t="str">
            <v>Diaz</v>
          </cell>
          <cell r="V161" t="str">
            <v>Quiroz</v>
          </cell>
          <cell r="X161" t="str">
            <v>GUM111201IA5</v>
          </cell>
          <cell r="AD161">
            <v>42893</v>
          </cell>
          <cell r="AL161" t="str">
            <v>Pavimentación con concreto hidráulico en la colonia El Rehilete, incluye: agua potable, drenaje sanitario, guarniciones, banquetas, accesibilidad, media tensión y servicios complementarios, en el municipio de Zapopan, Jalisco, frente 2.</v>
          </cell>
          <cell r="AS161" t="str">
            <v>Col. El Rehilete</v>
          </cell>
        </row>
        <row r="162">
          <cell r="D162" t="str">
            <v>DOPI-FED-FORTALECE-PAV-LP-063-2017</v>
          </cell>
          <cell r="T162" t="str">
            <v>ORNELLA CAROLINA</v>
          </cell>
          <cell r="U162" t="str">
            <v>LEGASPI</v>
          </cell>
          <cell r="V162" t="str">
            <v>MUÑOZ</v>
          </cell>
          <cell r="X162" t="str">
            <v>TEM141021N31</v>
          </cell>
          <cell r="AD162">
            <v>42929</v>
          </cell>
          <cell r="AL162" t="str">
            <v>Construcción de la calle Boulevard del Rodeo con concreto hidráulico tramo 1, en las colonias Laureles y Rinconada de la Azalea, en el municipio de Zapopan, Jalisco.</v>
          </cell>
          <cell r="AS162" t="str">
            <v>Colonias Laureles y Rinconada de la Azalea</v>
          </cell>
        </row>
        <row r="163">
          <cell r="D163" t="str">
            <v>DOPI-FED-FORTALECE-PAV-LP-064-2017</v>
          </cell>
          <cell r="T163" t="str">
            <v>ARTURO</v>
          </cell>
          <cell r="U163" t="str">
            <v>SARMIENTO</v>
          </cell>
          <cell r="V163" t="str">
            <v>SANCHEZ</v>
          </cell>
          <cell r="X163" t="str">
            <v>CON020208696</v>
          </cell>
          <cell r="AD163">
            <v>42929</v>
          </cell>
          <cell r="AL163" t="str">
            <v>Construcción de la calle Boulevard del Rodeo con concreto hidráulico tramo 2, en las colonias Laureles, El Vigía, Rinconada de la Azalea, en el municipio de Zapopan, Jalisco.</v>
          </cell>
          <cell r="AS163" t="str">
            <v>Colonias Laureles, El Vigía, Rinconada de la Azalea</v>
          </cell>
        </row>
        <row r="164">
          <cell r="D164" t="str">
            <v>DOPI-FED-FORTALECE-PAV-LP-065-2017</v>
          </cell>
          <cell r="T164" t="str">
            <v>J. GERARDO</v>
          </cell>
          <cell r="U164" t="str">
            <v>NICANOR</v>
          </cell>
          <cell r="V164" t="str">
            <v>MEJIA MARISCAL</v>
          </cell>
          <cell r="X164" t="str">
            <v>ICO980722M04</v>
          </cell>
          <cell r="AD164">
            <v>42929</v>
          </cell>
          <cell r="AL164" t="str">
            <v>Construcción de la calle Francisco Villa con concreto hidráulico de calle Abasolo a calle Emiliano Zapata, en la Zona de Santa Ana Tepetitlán (Segunda Etapa), en el municipio de Zapopan, Jalisco.</v>
          </cell>
          <cell r="AS164" t="str">
            <v>Santa Ana Tepetitlán</v>
          </cell>
        </row>
        <row r="165">
          <cell r="D165" t="str">
            <v>DOPI-FED-FORTALECE-PAV-LP-066-2017</v>
          </cell>
          <cell r="T165" t="str">
            <v>J. GERARDO</v>
          </cell>
          <cell r="U165" t="str">
            <v>NICANOR</v>
          </cell>
          <cell r="V165" t="str">
            <v>MEJIA MARISCAL</v>
          </cell>
          <cell r="X165" t="str">
            <v>ICO980722M04</v>
          </cell>
          <cell r="AD165">
            <v>42929</v>
          </cell>
          <cell r="AL165" t="str">
            <v>Construcción de la calle Plata con concreto hidráulico de calle Estaño a Av. Juan Pablo II, en la Zona de San José del Bajío, en el municipio de Zapopan, Jalisco.</v>
          </cell>
          <cell r="AS165" t="str">
            <v>San José del Bajío</v>
          </cell>
        </row>
        <row r="166">
          <cell r="D166" t="str">
            <v>DOPI-MUN-RM-PAV-CI-077-2017</v>
          </cell>
          <cell r="T166" t="str">
            <v xml:space="preserve">FRANCISCO GUSTAVO </v>
          </cell>
          <cell r="U166" t="str">
            <v>ACEVES</v>
          </cell>
          <cell r="V166" t="str">
            <v xml:space="preserve">GARZA </v>
          </cell>
          <cell r="X166" t="str">
            <v>TSI0906015A9</v>
          </cell>
          <cell r="AD166">
            <v>42929</v>
          </cell>
          <cell r="AL166" t="str">
            <v>Pavimentación con concreto hidráulico de la Av. Romanos de calle Egipcios a Av. Patria, incluye agua potable, drenaje, guarniciones, banquetas, servicios complementarios y señalética, en la colonia Altamira, primera etapa, municipio de Zapopan, Jalisco.</v>
          </cell>
          <cell r="AS166" t="str">
            <v>Colonia Altamira</v>
          </cell>
        </row>
        <row r="167">
          <cell r="D167" t="str">
            <v>DOPI-MUN-FORTA-PAV-CI-078-2017</v>
          </cell>
          <cell r="T167" t="str">
            <v>J. JESÚS</v>
          </cell>
          <cell r="U167" t="str">
            <v>NUÑEZ</v>
          </cell>
          <cell r="V167" t="str">
            <v>GUTIÉRREZ</v>
          </cell>
          <cell r="X167" t="str">
            <v>CVC110114429</v>
          </cell>
          <cell r="AD167">
            <v>42929</v>
          </cell>
          <cell r="AL167" t="str">
            <v>Pavimentación con concreto hidráulico de calle Juan del Carmen, de calle Urano a calle Obreros de Cananea, incluye agua potable, drenaje, guarniciones, banquetas, servicios complementarios y señalética, en la colonia La Palmita, primera etapa, municipio de Zapopan, Jalisco.</v>
          </cell>
          <cell r="AS167" t="str">
            <v>Colonia La Palmita</v>
          </cell>
        </row>
        <row r="169">
          <cell r="D169" t="str">
            <v>DOPI-MUN-RM-PAV-CI-082-2017</v>
          </cell>
          <cell r="T169" t="str">
            <v>JUAN PABLO</v>
          </cell>
          <cell r="U169" t="str">
            <v>VERA</v>
          </cell>
          <cell r="V169" t="str">
            <v>TAVARES</v>
          </cell>
          <cell r="X169" t="str">
            <v>LCO080228DN2</v>
          </cell>
          <cell r="AD169">
            <v>42929</v>
          </cell>
          <cell r="AL169" t="str">
            <v>Pavimentación con mezcla asfáltica de calle Belisario Domínguez -Paseo de la Primavera, de privada Mariano Otero a Prol. Guadalupe, en las colonias Mariano Otero y Arenales Tapatíos, primera etapa, municipio de Zapopan, Jalisco.</v>
          </cell>
          <cell r="AS169" t="str">
            <v>Colonias Mariano Otero y Arenales Tapatíos</v>
          </cell>
        </row>
        <row r="170">
          <cell r="D170" t="str">
            <v>DOPI-MUN-R33-DS-CI-084-2017</v>
          </cell>
          <cell r="T170" t="str">
            <v>JAVIER</v>
          </cell>
          <cell r="U170" t="str">
            <v xml:space="preserve">ÁVILA </v>
          </cell>
          <cell r="V170" t="str">
            <v>FLORES</v>
          </cell>
          <cell r="X170" t="str">
            <v>SCC060622HZ3</v>
          </cell>
          <cell r="AD170">
            <v>42929</v>
          </cell>
          <cell r="AL170" t="str">
            <v>Construcción de red de drenaje y agua potable en privada Montes de Oca, calle Fernando Montes de Oca, Privada Juan Escutia y calle Juan Escutia, en la colonia Prados de Santa Lucia, municipio de Zapopan, Jalisco.</v>
          </cell>
          <cell r="AS170" t="str">
            <v>Colonia Prados de Santa Lucia</v>
          </cell>
        </row>
        <row r="171">
          <cell r="D171" t="str">
            <v>DOPI-MUN-R33-DS-CI-086-2017</v>
          </cell>
          <cell r="T171" t="str">
            <v xml:space="preserve">EDUARDO </v>
          </cell>
          <cell r="U171" t="str">
            <v>ROMERO</v>
          </cell>
          <cell r="V171" t="str">
            <v>LUGO</v>
          </cell>
          <cell r="X171" t="str">
            <v>ROS120904PV9</v>
          </cell>
          <cell r="AD171">
            <v>42929</v>
          </cell>
          <cell r="AL171" t="str">
            <v>Construcción de red de Drenaje y Agua Potable en la Calle San Francisco Tesistán y calles adyacentes, en la colonia Valle de la Providencia (La Cuchilla), municipio de Zapopan, Jalisco.</v>
          </cell>
          <cell r="AS171" t="str">
            <v>Colonia Valle de la Providencia (La Cuchilla)</v>
          </cell>
        </row>
        <row r="172">
          <cell r="D172" t="str">
            <v>DOPI-MUN-R33-DS-CI-087-2017</v>
          </cell>
          <cell r="T172" t="str">
            <v>ARTURO</v>
          </cell>
          <cell r="U172" t="str">
            <v>RANGEL</v>
          </cell>
          <cell r="V172" t="str">
            <v>PAEZ</v>
          </cell>
          <cell r="X172" t="str">
            <v>CLA890925ER5</v>
          </cell>
          <cell r="AD172">
            <v>42929</v>
          </cell>
          <cell r="AL172" t="str">
            <v>Construcción de red de drenaje y agua potable en las calles: Prados de las Torres, Prados de Nextipac, Prados del Maíz I y II Sección, calle los Pinos, en la colonia Prados de Nextipac, municipio de Zapopan, Jalisco.</v>
          </cell>
          <cell r="AS172" t="str">
            <v>Colonia Prados de Nextipac</v>
          </cell>
        </row>
        <row r="173">
          <cell r="D173" t="str">
            <v>DOPI-MUN-R33-PAV-CI-088-2017</v>
          </cell>
          <cell r="T173" t="str">
            <v>JOSÉ LUIS</v>
          </cell>
          <cell r="U173" t="str">
            <v>GIL</v>
          </cell>
          <cell r="V173" t="str">
            <v>ARROYO</v>
          </cell>
          <cell r="X173" t="str">
            <v>CPG861118QF1</v>
          </cell>
          <cell r="AD173">
            <v>42929</v>
          </cell>
          <cell r="AL173" t="str">
            <v>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v>
          </cell>
          <cell r="AS173" t="str">
            <v>Colonia Hacienda Juárez</v>
          </cell>
        </row>
        <row r="174">
          <cell r="D174" t="str">
            <v>DOPI-MUN-R33-PAV-CI-089-2017</v>
          </cell>
          <cell r="T174" t="str">
            <v>CLARISSA GABRIELA</v>
          </cell>
          <cell r="U174" t="str">
            <v>VALDEZ</v>
          </cell>
          <cell r="V174" t="str">
            <v>MANJARREZ</v>
          </cell>
          <cell r="X174" t="str">
            <v>TGE101215JI6</v>
          </cell>
          <cell r="AD174">
            <v>42929</v>
          </cell>
          <cell r="AL174" t="str">
            <v>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v>
          </cell>
          <cell r="AS174" t="str">
            <v>Colonia Predio El Zapote</v>
          </cell>
        </row>
        <row r="175">
          <cell r="D175" t="str">
            <v>DOPI-MUN-R33-DS-CI-090-2017</v>
          </cell>
          <cell r="T175" t="str">
            <v>FRANCISCO JAVIER</v>
          </cell>
          <cell r="U175" t="str">
            <v>DIAZ</v>
          </cell>
          <cell r="V175" t="str">
            <v>RUIZ</v>
          </cell>
          <cell r="X175" t="str">
            <v>CDI950714B79</v>
          </cell>
          <cell r="AD175">
            <v>42929</v>
          </cell>
          <cell r="AL175" t="str">
            <v>Construcción de red de drenaje y agua potable en la calle Eucalipto, calle Puesta del Sol, calle La Presa y calle Jaime Prieto, en la colonia Valle de Los Robles, municipio de Zapopan, Jalisco.</v>
          </cell>
          <cell r="AS175" t="str">
            <v>Colonia Valle de Los Robles</v>
          </cell>
        </row>
        <row r="176">
          <cell r="D176" t="str">
            <v>DOPI-MUN-R33-DS-CI-091-2017</v>
          </cell>
          <cell r="T176" t="str">
            <v xml:space="preserve"> MARTHA </v>
          </cell>
          <cell r="U176" t="str">
            <v>JIMENEZ</v>
          </cell>
          <cell r="V176" t="str">
            <v>LOPEZ</v>
          </cell>
          <cell r="X176" t="str">
            <v>IBO090918ET9</v>
          </cell>
          <cell r="AD176">
            <v>42929</v>
          </cell>
          <cell r="AL176" t="str">
            <v>Construcción de red de alcantarillado y agua potable en la calle San Jorge, calle San Miguel, calle San Rafael y calles Adyacentes, en la colonia La Limera, municipio de Zapopan, Jalisco.</v>
          </cell>
          <cell r="AS176" t="str">
            <v>Colonia La Limera</v>
          </cell>
        </row>
        <row r="177">
          <cell r="D177" t="str">
            <v>DOPI-MUN-R33-IE-CI-092-2017</v>
          </cell>
          <cell r="T177" t="str">
            <v>VICTOR</v>
          </cell>
          <cell r="U177" t="str">
            <v>ZAYAS</v>
          </cell>
          <cell r="V177" t="str">
            <v>RIQUELME</v>
          </cell>
          <cell r="X177" t="str">
            <v>GIC810323RA6</v>
          </cell>
          <cell r="AD177">
            <v>42929</v>
          </cell>
          <cell r="AL177" t="str">
            <v>Red electrificación y servicios complementarios en la calle 1 de Noviembre, calle Naranjo, calle Mandarina, calle Limón, calle Fresa, privada Sin Nombre y calle Capulín, en la colonia Zapote II, municipio de Zapopan, Jalisco.</v>
          </cell>
          <cell r="AS177" t="str">
            <v>Colonia Zapote II</v>
          </cell>
        </row>
        <row r="178">
          <cell r="D178" t="str">
            <v>DOPI-MUN-R33-AP-CI-093-2017</v>
          </cell>
          <cell r="T178" t="str">
            <v>KARLA MARIANA</v>
          </cell>
          <cell r="U178" t="str">
            <v>MENDEZ</v>
          </cell>
          <cell r="V178" t="str">
            <v>RODRIGUEZ</v>
          </cell>
          <cell r="X178" t="str">
            <v>GFU021009BC1</v>
          </cell>
          <cell r="AD178">
            <v>42929</v>
          </cell>
          <cell r="AL178" t="str">
            <v>Perforación de pozo profundo, en la colonia Copalita Poblado, municipio de Zapopan, Jalisco.</v>
          </cell>
          <cell r="AS178" t="str">
            <v>Colonia Copalita Poblado</v>
          </cell>
        </row>
        <row r="179">
          <cell r="D179" t="str">
            <v>DOPI-MUN-R33R-DS-CI-095-2017</v>
          </cell>
          <cell r="T179" t="str">
            <v>MELESIO</v>
          </cell>
          <cell r="U179" t="str">
            <v>HERNÁNDEZ</v>
          </cell>
          <cell r="V179" t="str">
            <v>MARTÍNEZ</v>
          </cell>
          <cell r="X179" t="str">
            <v>CVI980213UM6</v>
          </cell>
          <cell r="AD179">
            <v>42985</v>
          </cell>
          <cell r="AL179" t="str">
            <v>Construcción de red de drenaje en las calles: Daniel Macías, Andrés Jiménez, 12 de Octubre y Quirino Rivera en la colonia Villa de Guadalupe, municipio de Zapopan, Jalisco.</v>
          </cell>
          <cell r="AM179">
            <v>42986</v>
          </cell>
          <cell r="AN179">
            <v>43060</v>
          </cell>
          <cell r="AS179" t="str">
            <v>Col. Villa de Guadalupe</v>
          </cell>
        </row>
        <row r="180">
          <cell r="D180" t="str">
            <v>DOPI-MUN-R33-DS-CI-096-2017</v>
          </cell>
          <cell r="T180" t="str">
            <v xml:space="preserve"> BERNARDO </v>
          </cell>
          <cell r="U180" t="str">
            <v xml:space="preserve">SAENZ </v>
          </cell>
          <cell r="V180" t="str">
            <v>BARBA</v>
          </cell>
          <cell r="X180" t="str">
            <v>GEM070112PX8</v>
          </cell>
          <cell r="AD180">
            <v>42929</v>
          </cell>
          <cell r="AL180" t="str">
            <v>Construcción de Red de Drenaje y Agua potable en las calles de la Colonia Zapote II, municipio de Zapopan, Jalisco.</v>
          </cell>
          <cell r="AS180" t="str">
            <v>Colonia Zapote II</v>
          </cell>
        </row>
        <row r="181">
          <cell r="D181" t="str">
            <v>DOPI-MUN-R33R-DS-CI-097-2017</v>
          </cell>
          <cell r="T181" t="str">
            <v>ELBA</v>
          </cell>
          <cell r="U181" t="str">
            <v xml:space="preserve">GONZÁLEZ </v>
          </cell>
          <cell r="V181" t="str">
            <v>AGUIRRE</v>
          </cell>
          <cell r="X181" t="str">
            <v>GUR120612P22</v>
          </cell>
          <cell r="AD181">
            <v>42985</v>
          </cell>
          <cell r="AL181" t="str">
            <v>Mejoramiento de Arroyo Seco entre las calles Puerto Tampico y Tezontle y rehabilitación de colector de aguas negras en la colonia Miramar Poniente, municipio de Zapopan, Jalisco.</v>
          </cell>
          <cell r="AM181">
            <v>42986</v>
          </cell>
          <cell r="AN181">
            <v>43060</v>
          </cell>
          <cell r="AS181" t="str">
            <v>Colonia Miramar Poniente</v>
          </cell>
        </row>
        <row r="182">
          <cell r="D182" t="str">
            <v>DOPI-MUN-RM-PAV-CI-098-2017</v>
          </cell>
          <cell r="T182" t="str">
            <v>ANDRES EDUARDO</v>
          </cell>
          <cell r="U182" t="str">
            <v>ACEVES</v>
          </cell>
          <cell r="V182" t="str">
            <v>CASTAÑEDA</v>
          </cell>
          <cell r="X182" t="str">
            <v>SCO100609EVA</v>
          </cell>
          <cell r="AD182">
            <v>42929</v>
          </cell>
          <cell r="AL182" t="str">
            <v>Obra de pavimentación complementaria a solución vial de López Mateos y Periférico Sur, municipio de Zapopan, Jalisco.</v>
          </cell>
          <cell r="AS182" t="str">
            <v>Colonias La Calma, Loma Bonita y Las Aguilas</v>
          </cell>
        </row>
        <row r="183">
          <cell r="D183" t="str">
            <v>DOPI-FED-FORTALECE-PAV-CI-099-2017</v>
          </cell>
          <cell r="T183" t="str">
            <v>JOEL</v>
          </cell>
          <cell r="U183" t="str">
            <v>ZULOAGA</v>
          </cell>
          <cell r="V183" t="str">
            <v>ACEVES</v>
          </cell>
          <cell r="X183" t="str">
            <v>TSC100210E48</v>
          </cell>
          <cell r="AD183">
            <v>42929</v>
          </cell>
          <cell r="AL183" t="str">
            <v>Reencarpetamiento de la calle Prolongación Pino Suárez con asfalto, de Periférico a Boulevard del Rodeo, tramo 1, en la Colonia el Vigía, en el municipio de Zapopan, Jalisco.</v>
          </cell>
          <cell r="AS183" t="str">
            <v>Colonia el Vigía</v>
          </cell>
        </row>
        <row r="184">
          <cell r="D184" t="str">
            <v>DOPI-FED-FORTALECE-PAV-CI-100-2017</v>
          </cell>
          <cell r="T184" t="str">
            <v xml:space="preserve">ARTURO </v>
          </cell>
          <cell r="U184" t="str">
            <v>MONTUFAR</v>
          </cell>
          <cell r="V184" t="str">
            <v>NUÑEZ</v>
          </cell>
          <cell r="X184" t="str">
            <v>VPC0012148K0</v>
          </cell>
          <cell r="AD184">
            <v>42929</v>
          </cell>
          <cell r="AL184" t="str">
            <v>Reencarpetamiento de la calle Melchor Ocampo con asfalto, de Periférico a Boulevard del Rodeo, tramo 1, en la colonia el Vigía, en el municipio de Zapopan, Jalisco.</v>
          </cell>
          <cell r="AS184" t="str">
            <v>Colonia el Vigía</v>
          </cell>
        </row>
        <row r="185">
          <cell r="D185" t="str">
            <v>DOPI-FED-FORTALECE-PAV-CI-101-2017</v>
          </cell>
          <cell r="T185" t="str">
            <v>GUILLERMO</v>
          </cell>
          <cell r="U185" t="str">
            <v>LARA</v>
          </cell>
          <cell r="V185" t="str">
            <v>VARGAS</v>
          </cell>
          <cell r="X185" t="str">
            <v>DGL060620SUA</v>
          </cell>
          <cell r="AD185">
            <v>42929</v>
          </cell>
          <cell r="AL185" t="str">
            <v>Construcción de la primera etapa (Reencarpetado) de Av. Acueducto, de Calzada Federalistas a Av. Guadalajara, en la colonia Real del Valle, en el municipio de Zapopan, Jalisco.</v>
          </cell>
          <cell r="AS185" t="str">
            <v>Colonia Real del Valle</v>
          </cell>
        </row>
        <row r="186">
          <cell r="D186" t="str">
            <v>DOPI-FED-FORTALECE-PAV-CI-102-2017</v>
          </cell>
          <cell r="T186" t="str">
            <v>JOSE ANTONIO</v>
          </cell>
          <cell r="U186" t="str">
            <v>ALVAREZ</v>
          </cell>
          <cell r="V186" t="str">
            <v>GARCIA</v>
          </cell>
          <cell r="X186" t="str">
            <v>UMN160125869</v>
          </cell>
          <cell r="AD186">
            <v>42929</v>
          </cell>
          <cell r="AL186" t="str">
            <v>Construcción de la calle Prolongación Acueducto con asfalto de Calzada Federalistas (Av. del Valle) a Calzada Federalistas, en la Zona de Santa Margarita (Segunda Etapa), en el municipio de Zapopan, Jalisco.</v>
          </cell>
          <cell r="AS186" t="str">
            <v>Colonia Santa Margarita</v>
          </cell>
        </row>
        <row r="187">
          <cell r="D187" t="str">
            <v>DOPI-FED-PR-PAV-LP-103-2017</v>
          </cell>
          <cell r="T187" t="str">
            <v>CARLOS ALBERTO</v>
          </cell>
          <cell r="U187" t="str">
            <v>VALENCIA</v>
          </cell>
          <cell r="V187" t="str">
            <v>MENCHACA</v>
          </cell>
          <cell r="X187" t="str">
            <v>CAU980304DC0</v>
          </cell>
          <cell r="AD187">
            <v>42972</v>
          </cell>
          <cell r="AL187" t="str">
            <v>Construcción de la calle Deli con concreto hidráulico de calle Ozomatli a calle Acatl, en la zona de la Mesa Colorada (segunda etapa), en el municipio de Zapopan, Jalisco.</v>
          </cell>
          <cell r="AM187">
            <v>42973</v>
          </cell>
          <cell r="AN187">
            <v>43095</v>
          </cell>
          <cell r="AS187" t="str">
            <v>Col. Mesa Colorada</v>
          </cell>
        </row>
        <row r="188">
          <cell r="D188" t="str">
            <v>DOPI-FED-PR-PAV-LP-104-2017</v>
          </cell>
          <cell r="T188" t="str">
            <v>JUAN JOSÉ</v>
          </cell>
          <cell r="U188" t="str">
            <v>GUTIÉRREZ</v>
          </cell>
          <cell r="V188" t="str">
            <v>CONTRERAS</v>
          </cell>
          <cell r="X188" t="str">
            <v>RCO130920JX9</v>
          </cell>
          <cell r="AD188">
            <v>42972</v>
          </cell>
          <cell r="AL188" t="str">
            <v>Construcción de la calle Ocampo con concreto hidráulico de Av. Aviación a calle Independencia, en la zona de San Juan de Ocotan (segunda etapa), en el municipio de Zapopan, Jalisco.</v>
          </cell>
          <cell r="AM188">
            <v>42972</v>
          </cell>
          <cell r="AN188">
            <v>43110</v>
          </cell>
          <cell r="AS188" t="str">
            <v>San Juan de Ocotán</v>
          </cell>
        </row>
        <row r="189">
          <cell r="D189" t="str">
            <v>DOPI-FED-PR-PAV-LP-105-2017</v>
          </cell>
          <cell r="T189" t="str">
            <v>SERGIO CESAR</v>
          </cell>
          <cell r="U189" t="str">
            <v>DÍAZ</v>
          </cell>
          <cell r="V189" t="str">
            <v>QUIROZ</v>
          </cell>
          <cell r="X189" t="str">
            <v>TRA750528286</v>
          </cell>
          <cell r="AD189">
            <v>42972</v>
          </cell>
          <cell r="AL189" t="str">
            <v>Pavimentación con concreto hidráulico de la lateral de Avenida Vallarta, entre la Avenida Juan Palomar y Arias y Anillo Periférico, en el municipio de Zapopan, Jalisco.</v>
          </cell>
          <cell r="AM189">
            <v>42973</v>
          </cell>
          <cell r="AN189">
            <v>43095</v>
          </cell>
          <cell r="AS189" t="str">
            <v>Col. Rinconada del Bosque</v>
          </cell>
        </row>
        <row r="190">
          <cell r="D190" t="str">
            <v>DOPI-FED-PR-PAV-LP-106-2017</v>
          </cell>
          <cell r="T190" t="str">
            <v>JAVIER</v>
          </cell>
          <cell r="U190" t="str">
            <v>CAÑEDO</v>
          </cell>
          <cell r="V190" t="str">
            <v>ORTEGA</v>
          </cell>
          <cell r="X190" t="str">
            <v>CTO061116F61</v>
          </cell>
          <cell r="AD190">
            <v>42972</v>
          </cell>
          <cell r="AL190" t="str">
            <v>Construcción de la calle Ing. Alberto Mora López con concreto hidráulico de calle Elote a calle Ing. Alfonso Padilla, en la zona de la Mesa Colorada (segunda etapa), en el municipio de Zapopan, Jalisco.</v>
          </cell>
          <cell r="AM190">
            <v>42973</v>
          </cell>
          <cell r="AN190">
            <v>43095</v>
          </cell>
          <cell r="AS190" t="str">
            <v>Col. Mesa Colorada</v>
          </cell>
        </row>
        <row r="191">
          <cell r="D191" t="str">
            <v>DOPI-FED-PR-PAV-LP-107-2017</v>
          </cell>
          <cell r="T191" t="str">
            <v>CARLOS IGNACIO</v>
          </cell>
          <cell r="U191" t="str">
            <v>CURIEL</v>
          </cell>
          <cell r="V191" t="str">
            <v>DUEÑAS</v>
          </cell>
          <cell r="X191" t="str">
            <v>CCE130723IR7</v>
          </cell>
          <cell r="AD191">
            <v>42972</v>
          </cell>
          <cell r="AL191" t="str">
            <v>Construcción de la calle Prolongación Acueducto con concreto hidráulico de Av. Santa Margarita a Av. Santa Esther, en la zona de Santa Margarita (segunda etapa), en el municipio de Zapopan, Jalisco.</v>
          </cell>
          <cell r="AM191">
            <v>42973</v>
          </cell>
          <cell r="AN191">
            <v>43095</v>
          </cell>
          <cell r="AS191" t="str">
            <v>Col. Santa Margarita</v>
          </cell>
        </row>
        <row r="192">
          <cell r="D192" t="str">
            <v>DOPI-FED-PR-PAV-LP-108-2017</v>
          </cell>
          <cell r="T192" t="str">
            <v>ARTURO</v>
          </cell>
          <cell r="U192" t="str">
            <v>SARMIENTO</v>
          </cell>
          <cell r="V192" t="str">
            <v>SÁNCHEZ</v>
          </cell>
          <cell r="X192" t="str">
            <v>CON020208696</v>
          </cell>
          <cell r="AD192">
            <v>42972</v>
          </cell>
          <cell r="AL192" t="str">
            <v>Construcción de la calle Ozomatli con concreto hidráulico de calle Cholollan a calle Deli, en la zona de la Mesa Colorada (segunda etapa), en el municipio de Zapopan, Jalisco.</v>
          </cell>
          <cell r="AM192">
            <v>42973</v>
          </cell>
          <cell r="AN192">
            <v>43095</v>
          </cell>
          <cell r="AS192" t="str">
            <v>Col. Mesa Colorada</v>
          </cell>
        </row>
        <row r="193">
          <cell r="D193" t="str">
            <v>DOPI-FED-PR-PAV-LP-109-2017</v>
          </cell>
          <cell r="T193" t="str">
            <v>FRANCISCO JAVIER</v>
          </cell>
          <cell r="U193" t="str">
            <v>DÍAZ</v>
          </cell>
          <cell r="V193" t="str">
            <v>RUÍZ</v>
          </cell>
          <cell r="X193" t="str">
            <v>CDI950714B79</v>
          </cell>
          <cell r="AD193">
            <v>42972</v>
          </cell>
          <cell r="AL193" t="str">
            <v>Construcción de la calle Ocampo con concreto hidráulico de calle Independencia a calle Parral, en la zona de San Juan de Ocotan (segunda etapa), en el municipio de Zapopan, Jalisco.</v>
          </cell>
          <cell r="AM193">
            <v>42973</v>
          </cell>
          <cell r="AN193">
            <v>43095</v>
          </cell>
          <cell r="AS193" t="str">
            <v>San Juan de Ocotán</v>
          </cell>
        </row>
        <row r="194">
          <cell r="D194" t="str">
            <v>DOPI-FED-PR-PAV-LP-110-2017</v>
          </cell>
          <cell r="T194" t="str">
            <v>HAYDEE LILIANA</v>
          </cell>
          <cell r="U194" t="str">
            <v>AGUILAR</v>
          </cell>
          <cell r="V194" t="str">
            <v>CASSIAN</v>
          </cell>
          <cell r="X194" t="str">
            <v>EDM970225I68</v>
          </cell>
          <cell r="AD194">
            <v>42972</v>
          </cell>
          <cell r="AL194" t="str">
            <v>Construcción de la calle Tulipanes con concreto hidráulico de Prolongación Acueducto a Av. Santa Margarita, en la zona de Santa Margarita (segunda etapa), en el municipio de Zapopan, Jalisco.</v>
          </cell>
          <cell r="AM194">
            <v>42973</v>
          </cell>
          <cell r="AN194">
            <v>43095</v>
          </cell>
          <cell r="AS194" t="str">
            <v>Col. Santa Margarita</v>
          </cell>
        </row>
        <row r="195">
          <cell r="D195" t="str">
            <v>DOPI-FED-PR-PAV-LP-111-2017</v>
          </cell>
          <cell r="T195" t="str">
            <v>ANDRÉS EDUARDO</v>
          </cell>
          <cell r="U195" t="str">
            <v>ACEVES</v>
          </cell>
          <cell r="V195" t="str">
            <v>CASTAÑEDA</v>
          </cell>
          <cell r="X195" t="str">
            <v>SCO100609EVA</v>
          </cell>
          <cell r="AD195">
            <v>42972</v>
          </cell>
          <cell r="AL195" t="str">
            <v>Construcción de la calle Magnolia con concreto hidráulico de Prolongación Acueducto a Av. Santa Margarita, en la zona de Santa Margarita (segunda etapa), en el municipio de Zapopan, Jalisco.</v>
          </cell>
          <cell r="AM195">
            <v>42973</v>
          </cell>
          <cell r="AN195">
            <v>43095</v>
          </cell>
          <cell r="AS195" t="str">
            <v>Col. Santa Margarita</v>
          </cell>
        </row>
        <row r="196">
          <cell r="D196" t="str">
            <v>DOPI-MUN-R33R-DS-CI-112-2017</v>
          </cell>
          <cell r="T196" t="str">
            <v>ERICK</v>
          </cell>
          <cell r="U196" t="str">
            <v>VILLASEÑOR</v>
          </cell>
          <cell r="V196" t="str">
            <v>GUTIÉRREZ</v>
          </cell>
          <cell r="X196" t="str">
            <v>PCO140829425</v>
          </cell>
          <cell r="AD196">
            <v>42985</v>
          </cell>
          <cell r="AM196">
            <v>42986</v>
          </cell>
          <cell r="AN196">
            <v>43060</v>
          </cell>
          <cell r="AS196" t="str">
            <v>Colonia Pedregal de Milpillas</v>
          </cell>
        </row>
        <row r="197">
          <cell r="D197" t="str">
            <v>DOPI-MUN-R33R-IH-CI-113-2017</v>
          </cell>
          <cell r="T197" t="str">
            <v>ADALBERTO</v>
          </cell>
          <cell r="U197" t="str">
            <v>MEDINA</v>
          </cell>
          <cell r="V197" t="str">
            <v>MORALES</v>
          </cell>
          <cell r="X197" t="str">
            <v>URD130830U21</v>
          </cell>
          <cell r="AD197">
            <v>42985</v>
          </cell>
          <cell r="AM197">
            <v>42986</v>
          </cell>
          <cell r="AN197">
            <v>43060</v>
          </cell>
          <cell r="AS197" t="str">
            <v>Colonia Revolución</v>
          </cell>
        </row>
        <row r="198">
          <cell r="D198" t="str">
            <v>DOPI-EST-FOCOCI-IU-LP-114-2017</v>
          </cell>
          <cell r="T198" t="str">
            <v>JOSÉ ANTONIO</v>
          </cell>
          <cell r="U198" t="str">
            <v>CISNEROS</v>
          </cell>
          <cell r="V198" t="str">
            <v>CASTILLO</v>
          </cell>
          <cell r="X198" t="str">
            <v>APE111122MI0</v>
          </cell>
          <cell r="AD198">
            <v>42972</v>
          </cell>
          <cell r="AL198" t="str">
            <v>Construcción de Centro Comunitario San Juan de Ocotán, en el municipio de Zapopan, Jalisco.</v>
          </cell>
          <cell r="AM198">
            <v>42972</v>
          </cell>
          <cell r="AN198">
            <v>43077</v>
          </cell>
          <cell r="AS198" t="str">
            <v>San Juan de Ocotán</v>
          </cell>
        </row>
        <row r="199">
          <cell r="D199" t="str">
            <v>DOPI-EST-CM-PAV-LP-115-2017</v>
          </cell>
          <cell r="T199" t="str">
            <v>IGNACIO JAVIER</v>
          </cell>
          <cell r="U199" t="str">
            <v>CURIEL</v>
          </cell>
          <cell r="V199" t="str">
            <v>DUEÑAS</v>
          </cell>
          <cell r="X199" t="str">
            <v>TCM100915HA1</v>
          </cell>
          <cell r="AD199">
            <v>42972</v>
          </cell>
          <cell r="AL199" t="str">
            <v>Renovación urbana en área habitacional y de zona comercial de solución vial Parres Arias, en el municipio de Zapopan, Jalisco, frente 1.</v>
          </cell>
          <cell r="AM199">
            <v>42972</v>
          </cell>
          <cell r="AN199">
            <v>43093</v>
          </cell>
          <cell r="AS199" t="str">
            <v>Parque Industrial Los Belenes</v>
          </cell>
        </row>
        <row r="200">
          <cell r="D200" t="str">
            <v>DOPI-EST-CM-PAV-LP-116-2017</v>
          </cell>
          <cell r="T200" t="str">
            <v>RODRIGO</v>
          </cell>
          <cell r="U200" t="str">
            <v>RAMOS</v>
          </cell>
          <cell r="V200" t="str">
            <v>GARIBI</v>
          </cell>
          <cell r="X200" t="str">
            <v>CCO990211T64</v>
          </cell>
          <cell r="AD200">
            <v>42972</v>
          </cell>
          <cell r="AL200" t="str">
            <v>Renovación urbana en área habitacional y de zona comercial de solución vial Parres Arias, en el municipio de Zapopan, Jalisco, frente 2.</v>
          </cell>
          <cell r="AM200">
            <v>42972</v>
          </cell>
          <cell r="AN200">
            <v>43093</v>
          </cell>
          <cell r="AS200" t="str">
            <v>Parque Industrial Los Belenes</v>
          </cell>
        </row>
        <row r="201">
          <cell r="D201" t="str">
            <v>DOPI-MUN-R33R-DS-CI-117-2017</v>
          </cell>
          <cell r="T201" t="str">
            <v>VICTOR</v>
          </cell>
          <cell r="U201" t="str">
            <v>ZAYAS</v>
          </cell>
          <cell r="V201" t="str">
            <v>RIQUELME</v>
          </cell>
          <cell r="X201" t="str">
            <v>GIC810323RA6</v>
          </cell>
          <cell r="AD201">
            <v>42985</v>
          </cell>
          <cell r="AM201">
            <v>42986</v>
          </cell>
          <cell r="AN201">
            <v>43083</v>
          </cell>
          <cell r="AS201" t="str">
            <v>Colonia Colinas del Rio</v>
          </cell>
        </row>
        <row r="202">
          <cell r="D202" t="str">
            <v>DOPI-MUN-R33R-PAV-CI-118-2017</v>
          </cell>
          <cell r="T202" t="str">
            <v>AARON</v>
          </cell>
          <cell r="U202" t="str">
            <v>AMARAL</v>
          </cell>
          <cell r="V202" t="str">
            <v>LÓPEZ</v>
          </cell>
          <cell r="X202" t="str">
            <v>GCC1102098R8</v>
          </cell>
          <cell r="AD202">
            <v>42985</v>
          </cell>
          <cell r="AM202">
            <v>42986</v>
          </cell>
          <cell r="AN202">
            <v>43075</v>
          </cell>
          <cell r="AS202" t="str">
            <v>Colonia El Fresno</v>
          </cell>
        </row>
        <row r="203">
          <cell r="B203" t="str">
            <v>Licitación por Invitación Restringida</v>
          </cell>
          <cell r="D203" t="str">
            <v>DOPI-MUN-RM-PAV-CI-145-2017</v>
          </cell>
          <cell r="T203" t="str">
            <v>MARIO</v>
          </cell>
          <cell r="U203" t="str">
            <v>BELTRÁN</v>
          </cell>
          <cell r="V203" t="str">
            <v>RODRÍGUEZ Y SUSARREY</v>
          </cell>
          <cell r="X203" t="str">
            <v>CDB0506068Z4</v>
          </cell>
          <cell r="AD203">
            <v>42975</v>
          </cell>
          <cell r="AL203" t="str">
            <v>Programa emergente de bacheo, renivelaciones y sellado en vialidades, Zonas Norte y Centro, municipio de Zapopan, Jalisco.</v>
          </cell>
          <cell r="AM203">
            <v>42975</v>
          </cell>
          <cell r="AN203">
            <v>43035</v>
          </cell>
          <cell r="AS203" t="str">
            <v>Zonas Norte y Centro</v>
          </cell>
        </row>
        <row r="204">
          <cell r="B204" t="str">
            <v>Licitación por Invitación Restringida</v>
          </cell>
          <cell r="D204" t="str">
            <v>DOPI-MUN-RM-PAV-CI-146-2017</v>
          </cell>
          <cell r="T204" t="str">
            <v>ÁNGEL SALOMÓN</v>
          </cell>
          <cell r="U204" t="str">
            <v>RINCÓN</v>
          </cell>
          <cell r="V204" t="str">
            <v>DE LA ROSA</v>
          </cell>
          <cell r="X204" t="str">
            <v>AAR120507VA9</v>
          </cell>
          <cell r="AD204">
            <v>42975</v>
          </cell>
          <cell r="AL204" t="str">
            <v>Programa emergente de bacheo, renivelaciones y sellado en vialidades, Zonas Sur y Surponiente, municipio de Zapopan, Jalisco.</v>
          </cell>
          <cell r="AM204">
            <v>42975</v>
          </cell>
          <cell r="AN204">
            <v>43035</v>
          </cell>
          <cell r="AS204" t="str">
            <v>Zonas Sur y Surponiente</v>
          </cell>
        </row>
        <row r="205">
          <cell r="B205" t="str">
            <v>Licitación por Invitación Restringida</v>
          </cell>
          <cell r="D205" t="str">
            <v>DOPI-MUN-RM-PAV-CI-147-2017</v>
          </cell>
          <cell r="T205" t="str">
            <v>RODRIGO</v>
          </cell>
          <cell r="U205" t="str">
            <v>RAMOS</v>
          </cell>
          <cell r="V205" t="str">
            <v>GARIBI</v>
          </cell>
          <cell r="X205" t="str">
            <v>CMA070307RU6</v>
          </cell>
          <cell r="AD205">
            <v>42975</v>
          </cell>
          <cell r="AL205" t="str">
            <v>Programa emergente de bacheo, renivelaciones y sellado en vialidades, Zona Poniente, Frente 2, municipio de Zapopan, Jalisco.</v>
          </cell>
          <cell r="AM205">
            <v>42975</v>
          </cell>
          <cell r="AN205">
            <v>43035</v>
          </cell>
          <cell r="AS205" t="str">
            <v>Zona Poniente</v>
          </cell>
        </row>
        <row r="206">
          <cell r="B206" t="str">
            <v>Licitación por Invitación Restringida</v>
          </cell>
          <cell r="D206" t="str">
            <v>DOPI-MUN-RM-PAV-CI-148-2017</v>
          </cell>
          <cell r="T206" t="str">
            <v>JOSÉ DE JESÚS</v>
          </cell>
          <cell r="U206" t="str">
            <v>ROMERO</v>
          </cell>
          <cell r="V206" t="str">
            <v>GARCÍA</v>
          </cell>
          <cell r="X206" t="str">
            <v>URC160310857</v>
          </cell>
          <cell r="AD206">
            <v>42975</v>
          </cell>
          <cell r="AL206" t="str">
            <v>Programa emergente de bacheo, renivelaciones y sellado en vialidades, Zonas Norte y Norponiente, municipio de Zapopan, Jalisco.</v>
          </cell>
          <cell r="AM206">
            <v>42975</v>
          </cell>
          <cell r="AN206">
            <v>43035</v>
          </cell>
          <cell r="AS206" t="str">
            <v>Zonas Norte y Norponiente</v>
          </cell>
        </row>
        <row r="207">
          <cell r="B207" t="str">
            <v>Licitación por Invitación Restringida</v>
          </cell>
          <cell r="D207" t="str">
            <v>DOPI-MUN-R33R-DS-CI-149-2017</v>
          </cell>
          <cell r="T207" t="str">
            <v>OMAR</v>
          </cell>
          <cell r="U207" t="str">
            <v>MORA</v>
          </cell>
          <cell r="V207" t="str">
            <v>MONTES DE OCA</v>
          </cell>
          <cell r="X207" t="str">
            <v>DCO130215C16</v>
          </cell>
          <cell r="AD207">
            <v>42975</v>
          </cell>
          <cell r="AL207" t="str">
            <v>Construcción de colector de aguas negras sobre arroyo, de calle Cholollán a calle Paseo de las Bugambilias,  construcción de drenaje en la calle Paseo del Manzano y calle Nogal en la colonia Mesa de los Ocotes, municipio de Zapopan, Jalisco.</v>
          </cell>
          <cell r="AM207">
            <v>42975</v>
          </cell>
          <cell r="AN207">
            <v>43079</v>
          </cell>
          <cell r="AS207" t="str">
            <v>Col. Mesa de los Ocotes</v>
          </cell>
        </row>
        <row r="208">
          <cell r="B208" t="str">
            <v>Licitación por Invitación Restringida</v>
          </cell>
          <cell r="D208" t="str">
            <v>DOPI-MUN-R33-DS-CI-150-2017</v>
          </cell>
          <cell r="T208" t="str">
            <v xml:space="preserve">RODOLFO </v>
          </cell>
          <cell r="U208" t="str">
            <v xml:space="preserve">VELAZQUEZ </v>
          </cell>
          <cell r="V208" t="str">
            <v>ORDOÑEZ</v>
          </cell>
          <cell r="X208" t="str">
            <v>VIE110125RL4</v>
          </cell>
          <cell r="AD208">
            <v>42975</v>
          </cell>
          <cell r="AL208" t="str">
            <v>Construcción de red de agua potable y drenaje sanitario en la colonia Lomas del Centinela 2, municipio de Zapopan, Jalisco. Primera etapa.</v>
          </cell>
          <cell r="AM208">
            <v>42975</v>
          </cell>
          <cell r="AN208">
            <v>43079</v>
          </cell>
          <cell r="AS208" t="str">
            <v>Col. Lomas del Centinela 2</v>
          </cell>
        </row>
        <row r="209">
          <cell r="B209" t="str">
            <v>Licitación por Invitación Restringida</v>
          </cell>
          <cell r="D209" t="str">
            <v>DOPI-MUN-R33R-DS-CI-151-2017</v>
          </cell>
          <cell r="T209" t="str">
            <v xml:space="preserve">EDUARDO </v>
          </cell>
          <cell r="U209" t="str">
            <v>CRUZ</v>
          </cell>
          <cell r="V209" t="str">
            <v>MOGUEL</v>
          </cell>
          <cell r="X209" t="str">
            <v>BAL990803661</v>
          </cell>
          <cell r="AD209">
            <v>42975</v>
          </cell>
          <cell r="AL209" t="str">
            <v>Construcción de red de drenaje en las calles Oxtol, Zochiquetzal, Texcoco, Cuaticue, Pachtli y Negri en la colonia Mesa Colorada Poniente, municipio de Zapopan, Jalisco.</v>
          </cell>
          <cell r="AM209">
            <v>42975</v>
          </cell>
          <cell r="AN209">
            <v>43079</v>
          </cell>
          <cell r="AS209" t="str">
            <v>Col. Mesa Colorada</v>
          </cell>
        </row>
        <row r="210">
          <cell r="B210" t="str">
            <v>Licitación por Invitación Restringida</v>
          </cell>
          <cell r="D210" t="str">
            <v>DOPI-MUN-R33R-IH-CI-152-2017</v>
          </cell>
          <cell r="T210" t="str">
            <v xml:space="preserve">EDUARDO </v>
          </cell>
          <cell r="U210" t="str">
            <v>MORA</v>
          </cell>
          <cell r="V210" t="str">
            <v>BLACKALLER</v>
          </cell>
          <cell r="X210" t="str">
            <v>GCI070523CW4</v>
          </cell>
          <cell r="AD210">
            <v>42975</v>
          </cell>
          <cell r="AL210" t="str">
            <v>Construcción de línea de conducción del poblado San Rafael hasta el poblado Río Blanco y construcción de línea de conducción del pozo al tanque en el poblado de Río Blanco en la colonia San Rafael y Río Blanco, Municipio de Zapopan, Jalisco.</v>
          </cell>
          <cell r="AM210">
            <v>42975</v>
          </cell>
          <cell r="AN210">
            <v>43079</v>
          </cell>
          <cell r="AS210" t="str">
            <v>Col. San Rafael y Rio Blanco</v>
          </cell>
        </row>
        <row r="211">
          <cell r="B211" t="str">
            <v>Licitación por Invitación Restringida</v>
          </cell>
          <cell r="D211" t="str">
            <v>DOPI-MUN-R33R-IH-CI-153-2017</v>
          </cell>
          <cell r="T211" t="str">
            <v>MIGUEL ÁNGEL</v>
          </cell>
          <cell r="U211" t="str">
            <v>ROMERO</v>
          </cell>
          <cell r="V211" t="str">
            <v>LUGO</v>
          </cell>
          <cell r="X211" t="str">
            <v>OCC940714PB0</v>
          </cell>
          <cell r="AD211">
            <v>42975</v>
          </cell>
          <cell r="AL211" t="str">
            <v>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v>
          </cell>
          <cell r="AM211">
            <v>42975</v>
          </cell>
          <cell r="AN211">
            <v>43079</v>
          </cell>
          <cell r="AS211" t="str">
            <v>Colonias La Vinatera y Ejido Copalita</v>
          </cell>
        </row>
        <row r="212">
          <cell r="B212" t="str">
            <v>Licitación por Invitación Restringida</v>
          </cell>
          <cell r="D212" t="str">
            <v>DOPI-MUN-R33R-PAV-CI-154-2017</v>
          </cell>
          <cell r="T212" t="str">
            <v>EDWIN</v>
          </cell>
          <cell r="U212" t="str">
            <v>AGUIAR</v>
          </cell>
          <cell r="V212" t="str">
            <v>ESCATEL</v>
          </cell>
          <cell r="X212" t="str">
            <v>MUR090325P33</v>
          </cell>
          <cell r="AD212">
            <v>42975</v>
          </cell>
          <cell r="AL212" t="str">
            <v>Pavimentación de las calles Cofradía y Panteón, incluye: red de agua potable y de drenaje sanitario en la colonia La Venta del Astillero, municipio de Zapopan, Jalisco.</v>
          </cell>
          <cell r="AM212">
            <v>42975</v>
          </cell>
          <cell r="AN212">
            <v>43079</v>
          </cell>
          <cell r="AS212" t="str">
            <v>Col. Venta del Astillero</v>
          </cell>
        </row>
        <row r="213">
          <cell r="B213" t="str">
            <v>Licitación por Invitación Restringida</v>
          </cell>
          <cell r="D213" t="str">
            <v>DOPI-MUN-R33R-PAV-CI-155-2017</v>
          </cell>
          <cell r="T213" t="str">
            <v xml:space="preserve">MARCO ANTONIO </v>
          </cell>
          <cell r="U213" t="str">
            <v>LOZANO</v>
          </cell>
          <cell r="V213" t="str">
            <v>ESTRADA</v>
          </cell>
          <cell r="X213" t="str">
            <v>DFU090928JB5</v>
          </cell>
          <cell r="AD213">
            <v>42975</v>
          </cell>
          <cell r="AL213" t="str">
            <v>Pavimentación de la calle Manzanos y andadores en la colonia Agua Fría, municipio de Zapopan, Jalisco.</v>
          </cell>
          <cell r="AM213">
            <v>42975</v>
          </cell>
          <cell r="AN213">
            <v>43079</v>
          </cell>
          <cell r="AS213" t="str">
            <v>Col. Agua Fria</v>
          </cell>
        </row>
        <row r="214">
          <cell r="B214" t="str">
            <v>Licitación por Invitación Restringida</v>
          </cell>
          <cell r="D214" t="str">
            <v>DOPI-MUN-R33R-DS-CI-157-2017</v>
          </cell>
          <cell r="T214" t="str">
            <v>CLAUDIO FELIPE</v>
          </cell>
          <cell r="U214" t="str">
            <v>TRUJILLO</v>
          </cell>
          <cell r="V214" t="str">
            <v>GRACIAN</v>
          </cell>
          <cell r="X214" t="str">
            <v>DLU100818F46</v>
          </cell>
          <cell r="AD214">
            <v>42975</v>
          </cell>
          <cell r="AL214" t="str">
            <v>Construcción de Colector y red de drenaje sanitario en las calles Naranjo, Mandarina, Chabacano, Limón, Manzano, Mango, Las Torres, Guamúchil y Capulín en la colonia Colinas del Rio, municipio de Zapopan, Jalisco. Frente 1.</v>
          </cell>
          <cell r="AM214">
            <v>42975</v>
          </cell>
          <cell r="AN214">
            <v>43079</v>
          </cell>
          <cell r="AS214" t="str">
            <v>Col. Colinas del Rio</v>
          </cell>
        </row>
        <row r="215">
          <cell r="B215" t="str">
            <v>Licitación por Invitación Restringida</v>
          </cell>
          <cell r="D215" t="str">
            <v>DOPI-MUN-R33R-PAV-CI-158-2017</v>
          </cell>
          <cell r="T215" t="str">
            <v>JUAN JOSÉ</v>
          </cell>
          <cell r="U215" t="str">
            <v>GUTIÉRREZ</v>
          </cell>
          <cell r="V215" t="str">
            <v>CONTRERAS</v>
          </cell>
          <cell r="X215" t="str">
            <v>RCO130920JX9</v>
          </cell>
          <cell r="AD215">
            <v>42975</v>
          </cell>
          <cell r="AL215" t="str">
            <v>Pavimentación con concreto hidráulico y complemento de las redes de agua potable y drenaje sanitario en calles de la colonia El Fresno, incluye: guarniciones, banquetas, servicios complementarios y señalética, en el municipio de Zapopan, Jalisco, primera etapa, frente 1.</v>
          </cell>
          <cell r="AM215">
            <v>42975</v>
          </cell>
          <cell r="AN215">
            <v>43079</v>
          </cell>
          <cell r="AS215" t="str">
            <v>Col. El Fresno</v>
          </cell>
        </row>
        <row r="216">
          <cell r="B216" t="str">
            <v>Licitación por Invitación Restringida</v>
          </cell>
          <cell r="D216" t="str">
            <v>DOPI-MUN-R33R-DS-CI-159-2017</v>
          </cell>
          <cell r="T216" t="str">
            <v>ELVIA ALEJANDRA</v>
          </cell>
          <cell r="U216" t="str">
            <v>TORRES</v>
          </cell>
          <cell r="V216" t="str">
            <v>VILLA</v>
          </cell>
          <cell r="X216" t="str">
            <v>PRO0205208F2</v>
          </cell>
          <cell r="AD216">
            <v>42975</v>
          </cell>
          <cell r="AL216" t="str">
            <v>Construcción de Red de drenaje sanitario y línea de alejamiento en calles de la Colonia Rancho El Colorado, municipio de Zapopan, Jalisco. Frente 1.</v>
          </cell>
          <cell r="AM216">
            <v>42975</v>
          </cell>
          <cell r="AN216">
            <v>43079</v>
          </cell>
          <cell r="AS216" t="str">
            <v>Col. Rancho el Colorado</v>
          </cell>
        </row>
        <row r="217">
          <cell r="B217" t="str">
            <v>Licitación por Invitación Restringida</v>
          </cell>
          <cell r="D217" t="str">
            <v>DOPI-MUN-R33R-DS-CI-160-2017</v>
          </cell>
          <cell r="T217" t="str">
            <v>MARÍA ARCELIA</v>
          </cell>
          <cell r="U217" t="str">
            <v>IÑIGUEZ</v>
          </cell>
          <cell r="V217" t="str">
            <v>HERNÁNDEZ</v>
          </cell>
          <cell r="X217" t="str">
            <v>COP1209104M8</v>
          </cell>
          <cell r="AD217">
            <v>42975</v>
          </cell>
          <cell r="AL217" t="str">
            <v>Construcción de Red de drenaje sanitario y línea de alejamiento en calles de la Colonia Rancho El Colorado, municipio de Zapopan, Jalisco. Frente 2.</v>
          </cell>
          <cell r="AM217">
            <v>42975</v>
          </cell>
          <cell r="AN217">
            <v>43079</v>
          </cell>
          <cell r="AS217" t="str">
            <v>Col. Rancho el Colorado</v>
          </cell>
        </row>
        <row r="218">
          <cell r="B218" t="str">
            <v>Licitación por Invitación Restringida</v>
          </cell>
          <cell r="D218" t="str">
            <v>DOPI-MUN-R33R-DP-CI-161-2017</v>
          </cell>
          <cell r="T218" t="str">
            <v>JAVIER</v>
          </cell>
          <cell r="U218" t="str">
            <v xml:space="preserve">ÁVILA </v>
          </cell>
          <cell r="V218" t="str">
            <v>FLORES</v>
          </cell>
          <cell r="X218" t="str">
            <v>SCC060622HZ3</v>
          </cell>
          <cell r="AD218">
            <v>42985</v>
          </cell>
          <cell r="AL218" t="str">
            <v xml:space="preserve">Construcción de drenaje pluvial en la calle Santa Mercedez de Av. Tesistán a Av. Jesús, colonia Tuzania Ejidal, municipio de Zapopan, Jalisco. </v>
          </cell>
          <cell r="AM218">
            <v>42986</v>
          </cell>
          <cell r="AN218">
            <v>43083</v>
          </cell>
          <cell r="AS218" t="str">
            <v>Colonia Tuzania Ejidal</v>
          </cell>
        </row>
        <row r="219">
          <cell r="B219" t="str">
            <v>Licitación por Invitación Restringida</v>
          </cell>
          <cell r="D219" t="str">
            <v>DOPI-MUN-R33R-IH-CI-162-2017</v>
          </cell>
          <cell r="T219" t="str">
            <v>JAVIER</v>
          </cell>
          <cell r="U219" t="str">
            <v>CHACON</v>
          </cell>
          <cell r="V219" t="str">
            <v>BENAVIDES</v>
          </cell>
          <cell r="X219" t="str">
            <v>CCO9407296S3</v>
          </cell>
          <cell r="AD219">
            <v>42985</v>
          </cell>
          <cell r="AL219" t="str">
            <v>Construcción de línea de conducción y rehabilitación de tanques en las colonias San Isidro y San Esteban, municipio de Zapopan, Jalisco.</v>
          </cell>
          <cell r="AM219">
            <v>42986</v>
          </cell>
          <cell r="AN219">
            <v>43075</v>
          </cell>
          <cell r="AS219" t="str">
            <v>Colonias San Isidro y San Esteban</v>
          </cell>
        </row>
        <row r="220">
          <cell r="B220" t="str">
            <v>Licitación Pública</v>
          </cell>
          <cell r="D220" t="str">
            <v>DOPI-EST-FOCOCI-IU-LP-164-2017</v>
          </cell>
          <cell r="T220" t="str">
            <v>ERNESTO</v>
          </cell>
          <cell r="U220" t="str">
            <v>OLIVARES</v>
          </cell>
          <cell r="V220" t="str">
            <v>ÁLVAREZ</v>
          </cell>
          <cell r="X220" t="str">
            <v>SMJ090317FS9</v>
          </cell>
          <cell r="AD220">
            <v>43014</v>
          </cell>
          <cell r="AL220" t="str">
            <v>Rehabilitación del Parque Unidad de Manejo Ambiental Villa Fantasía, en la colonia Tepeyac, frente 1, (ingreso, cafetería, área lúdica pedagógica y áreas exteriores), en el municipio de Zapopan, Jalisco.</v>
          </cell>
          <cell r="AM220">
            <v>43014</v>
          </cell>
          <cell r="AN220">
            <v>43100</v>
          </cell>
          <cell r="AS220" t="str">
            <v>Colonia Tepeyac</v>
          </cell>
        </row>
        <row r="221">
          <cell r="B221" t="str">
            <v>Licitación Pública</v>
          </cell>
          <cell r="D221" t="str">
            <v>DOPI-EST-FOCOCI-IU-LP-165-2017</v>
          </cell>
          <cell r="T221" t="str">
            <v>IGNACIO JAVIER</v>
          </cell>
          <cell r="U221" t="str">
            <v>CURIEL</v>
          </cell>
          <cell r="V221" t="str">
            <v>DUEÑAS</v>
          </cell>
          <cell r="X221" t="str">
            <v>TCM100915HA1</v>
          </cell>
          <cell r="AD221">
            <v>43014</v>
          </cell>
          <cell r="AL221" t="str">
            <v>Rehabilitación del Parque Unidad de Manejo Ambiental Villa Fantasía, en la colonia Tepeyac, frente 2, (clínica, edificio administrativo y módulo de baños), en el municipio de Zapopan, Jalisco.</v>
          </cell>
          <cell r="AM221">
            <v>43014</v>
          </cell>
          <cell r="AN221">
            <v>43100</v>
          </cell>
          <cell r="AS221" t="str">
            <v>Colonia Tepeyac</v>
          </cell>
        </row>
        <row r="222">
          <cell r="B222" t="str">
            <v>Licitación Pública</v>
          </cell>
          <cell r="D222" t="str">
            <v>DOPI-EST-FOCOCI-IU-LP-166-2017</v>
          </cell>
          <cell r="T222" t="str">
            <v>ERICK</v>
          </cell>
          <cell r="U222" t="str">
            <v>VILLASEÑOR</v>
          </cell>
          <cell r="V222" t="str">
            <v>GUTIÉRREZ</v>
          </cell>
          <cell r="X222" t="str">
            <v>PCO140829425</v>
          </cell>
          <cell r="AD222">
            <v>43014</v>
          </cell>
          <cell r="AL222" t="str">
            <v>Rehabilitación del Parque Unidad de Manejo Ambiental Villa Fantasía, en la colonia Tepeyac, frente 3, (hábitats zona 1), en el municipio de Zapopan, Jalisco.</v>
          </cell>
          <cell r="AM222">
            <v>43014</v>
          </cell>
          <cell r="AN222">
            <v>43100</v>
          </cell>
          <cell r="AS222" t="str">
            <v>Colonia Tepeyac</v>
          </cell>
        </row>
        <row r="223">
          <cell r="B223" t="str">
            <v>Licitación Pública</v>
          </cell>
          <cell r="D223" t="str">
            <v>DOPI-EST-FOCOCI-IU-LP-167-2017</v>
          </cell>
          <cell r="T223" t="str">
            <v>CARLOS IGNACIO</v>
          </cell>
          <cell r="U223" t="str">
            <v>CURIEL</v>
          </cell>
          <cell r="V223" t="str">
            <v>DUEÑAS</v>
          </cell>
          <cell r="X223" t="str">
            <v>CCE130723IR7</v>
          </cell>
          <cell r="AD223">
            <v>43014</v>
          </cell>
          <cell r="AL223" t="str">
            <v>Rehabilitación del Parque Unidad de Manejo Ambiental Villa Fantasía, en la colonia Tepeyac, frente 4, (hábitats zona 2), en el municipio de Zapopan, Jalisco.</v>
          </cell>
          <cell r="AM223">
            <v>43014</v>
          </cell>
          <cell r="AN223">
            <v>43100</v>
          </cell>
          <cell r="AS223" t="str">
            <v>Colonia Tepeyac</v>
          </cell>
        </row>
        <row r="224">
          <cell r="B224" t="str">
            <v>Licitación Pública</v>
          </cell>
          <cell r="D224" t="str">
            <v>DOPI-EST-CONVSCT-PAV-LP-168-2017</v>
          </cell>
          <cell r="T224" t="str">
            <v>MIGUEL ÁNGEL</v>
          </cell>
          <cell r="U224" t="str">
            <v>ROMERO</v>
          </cell>
          <cell r="V224" t="str">
            <v>LUGO</v>
          </cell>
          <cell r="X224" t="str">
            <v>OCC940714PB0</v>
          </cell>
          <cell r="AD224">
            <v>43014</v>
          </cell>
          <cell r="AL224" t="str">
            <v>Construcción, cimentación, apoyos y cabezales del retorno elevado en la carretera Guadalajara-Tepic km 11+650, municipio de Zapopan, Jalisco.</v>
          </cell>
          <cell r="AM224">
            <v>43014</v>
          </cell>
          <cell r="AN224">
            <v>43100</v>
          </cell>
          <cell r="AS224" t="str">
            <v>Colonia Rancho Contento</v>
          </cell>
        </row>
        <row r="225">
          <cell r="B225" t="str">
            <v>Licitación Pública</v>
          </cell>
          <cell r="D225" t="str">
            <v>DOPI-FED-FF-PAV-LP-169-2017</v>
          </cell>
          <cell r="T225" t="str">
            <v>J. GERARDO</v>
          </cell>
          <cell r="U225" t="str">
            <v>NICANOR</v>
          </cell>
          <cell r="V225" t="str">
            <v>MEJIA MARISCAL</v>
          </cell>
          <cell r="X225" t="str">
            <v>ICO980722MQ4</v>
          </cell>
          <cell r="AD225">
            <v>43031</v>
          </cell>
          <cell r="AL225" t="str">
            <v xml:space="preserve">Pavimentación de Av. Guadalajara con concreto hidráulico tramo 1, en la colonia Nuevo México, municipio de Zapopan, Jalisco. </v>
          </cell>
          <cell r="AM225">
            <v>43031</v>
          </cell>
          <cell r="AN225">
            <v>43106</v>
          </cell>
          <cell r="AS225" t="str">
            <v>Colonia Nuevo México</v>
          </cell>
        </row>
        <row r="226">
          <cell r="B226" t="str">
            <v>Licitación Pública</v>
          </cell>
          <cell r="D226" t="str">
            <v>DOPI-FED-FF-PAV-LP-170-2017</v>
          </cell>
          <cell r="T226" t="str">
            <v>RICARDO</v>
          </cell>
          <cell r="U226" t="str">
            <v>TECANHUEY</v>
          </cell>
          <cell r="V226" t="str">
            <v>LARIOS</v>
          </cell>
          <cell r="X226" t="str">
            <v>MRE151124EK1</v>
          </cell>
          <cell r="AD226">
            <v>43031</v>
          </cell>
          <cell r="AL226" t="str">
            <v xml:space="preserve">Pavimentación de Av. Guadalajara con concreto hidráulico tramo 2, en la colonia Nuevo México, municipio de Zapopan, Jalisco. </v>
          </cell>
          <cell r="AM226">
            <v>43031</v>
          </cell>
          <cell r="AN226">
            <v>43106</v>
          </cell>
          <cell r="AS226" t="str">
            <v>Colonia Nuevo México</v>
          </cell>
        </row>
        <row r="227">
          <cell r="B227" t="str">
            <v>Licitación Pública</v>
          </cell>
          <cell r="D227" t="str">
            <v>DOPI-FED-FF-PAV-LP-171-2017</v>
          </cell>
          <cell r="T227" t="str">
            <v>HAYDEE LILIANA</v>
          </cell>
          <cell r="U227" t="str">
            <v>AGUILAR</v>
          </cell>
          <cell r="V227" t="str">
            <v>CASSIAN</v>
          </cell>
          <cell r="X227" t="str">
            <v>EDM970225I68</v>
          </cell>
          <cell r="AD227">
            <v>43031</v>
          </cell>
          <cell r="AL227" t="str">
            <v>Pavimentación de conexión vial Centro Cultural Constitución – Auditorio Telmex, con pavimento asfáltico, tramo 1 (Calz. Constituyentes – Calle Obreros de Cananea) en la colonia Constitución, municipio de Zapopan, Jalisco, frente 1.</v>
          </cell>
          <cell r="AM227">
            <v>43031</v>
          </cell>
          <cell r="AN227">
            <v>43106</v>
          </cell>
          <cell r="AS227" t="str">
            <v>Colonia Constitución</v>
          </cell>
        </row>
        <row r="228">
          <cell r="B228" t="str">
            <v>Licitación Pública</v>
          </cell>
          <cell r="D228" t="str">
            <v>DOPI-FED-FF-PAV-LP-172-2017</v>
          </cell>
          <cell r="T228" t="str">
            <v>ALEX</v>
          </cell>
          <cell r="U228" t="str">
            <v>MEDINA</v>
          </cell>
          <cell r="V228" t="str">
            <v>GÓMEZ</v>
          </cell>
          <cell r="X228" t="str">
            <v>MCO150527NY3</v>
          </cell>
          <cell r="AD228">
            <v>43031</v>
          </cell>
          <cell r="AL228" t="str">
            <v>Pavimentación de conexión vial Centro Cultural Constitución – Auditorio Telmex, con pavimento asfáltico, tramo 1 (Calz. Constituyentes – Calle Obreros de Cananea) en la colonia Constitución, municipio de Zapopan, Jalisco, frente 2.</v>
          </cell>
          <cell r="AM228">
            <v>43031</v>
          </cell>
          <cell r="AN228">
            <v>43106</v>
          </cell>
          <cell r="AS228" t="str">
            <v>Colonia Constitución</v>
          </cell>
        </row>
        <row r="229">
          <cell r="B229" t="str">
            <v>Licitación Pública</v>
          </cell>
          <cell r="D229" t="str">
            <v>DOPI-FED-FF-PAV-LP-173-2017</v>
          </cell>
          <cell r="T229" t="str">
            <v>VICTOR MANUEL</v>
          </cell>
          <cell r="U229" t="str">
            <v>JAUREGUI</v>
          </cell>
          <cell r="V229" t="str">
            <v>TORRES</v>
          </cell>
          <cell r="X229" t="str">
            <v>CEA070208SB1</v>
          </cell>
          <cell r="AD229">
            <v>43031</v>
          </cell>
          <cell r="AL229" t="str">
            <v>Pavimentación de conexión vial Centro Cultural Constitución – Auditorio Telmex, con pavimento asfáltico, tramo 2 (Calz. Constituyentes – Calle Obreros de Cananea) en la colonia Constitución, municipio de Zapopan, Jalisco, frente 1.</v>
          </cell>
          <cell r="AM229">
            <v>43031</v>
          </cell>
          <cell r="AN229">
            <v>43106</v>
          </cell>
          <cell r="AS229" t="str">
            <v>Colonia Constitución</v>
          </cell>
        </row>
        <row r="230">
          <cell r="B230" t="str">
            <v>Licitación Pública</v>
          </cell>
          <cell r="D230" t="str">
            <v>DOPI-FED-FF-PAV-LP-174-2017</v>
          </cell>
          <cell r="T230" t="str">
            <v>CARLOS IGNACIO</v>
          </cell>
          <cell r="U230" t="str">
            <v>CURIEL</v>
          </cell>
          <cell r="V230" t="str">
            <v>DUEÑAS</v>
          </cell>
          <cell r="X230" t="str">
            <v>CCE130723IR7</v>
          </cell>
          <cell r="AD230">
            <v>43031</v>
          </cell>
          <cell r="AL230" t="str">
            <v>Pavimentación de conexión vial Centro Cultural Constitución – Auditorio Telmex, con pavimento asfáltico, tramo 2 (Calz. Constituyentes – Calle Obreros de Cananea) en la colonia Constitución, municipio de Zapopan, Jalisco, frente 2.</v>
          </cell>
          <cell r="AM230">
            <v>43031</v>
          </cell>
          <cell r="AN230">
            <v>43106</v>
          </cell>
          <cell r="AS230" t="str">
            <v>Colonia Constitución</v>
          </cell>
        </row>
        <row r="231">
          <cell r="B231" t="str">
            <v>Licitación Pública</v>
          </cell>
          <cell r="D231" t="str">
            <v>DOPI-FED-FF-PAV-LP-175-2017</v>
          </cell>
          <cell r="T231" t="str">
            <v>JULIO EDUARDO</v>
          </cell>
          <cell r="U231" t="str">
            <v>LÓPEZ</v>
          </cell>
          <cell r="V231" t="str">
            <v>PÉREZ</v>
          </cell>
          <cell r="X231" t="str">
            <v>PEI020208RW0</v>
          </cell>
          <cell r="AD231">
            <v>43031</v>
          </cell>
          <cell r="AL231" t="str">
            <v>Pavimentación con concreto hidráulico de la Av. Royal Country, segunda etapa, en los fraccionamientos Royal Country, Puerta de Hierro y Puerta Plata, municipio de Zapopan, Jalisco, frente 1.</v>
          </cell>
          <cell r="AM231">
            <v>43031</v>
          </cell>
          <cell r="AN231">
            <v>43106</v>
          </cell>
          <cell r="AS231" t="str">
            <v>Colonia Puerta Plata</v>
          </cell>
        </row>
        <row r="232">
          <cell r="B232" t="str">
            <v>Licitación Pública</v>
          </cell>
          <cell r="D232" t="str">
            <v>DOPI-FED-FF-PAV-LP-176-2017</v>
          </cell>
          <cell r="T232" t="str">
            <v>J. GERARDO</v>
          </cell>
          <cell r="U232" t="str">
            <v>NICANOR</v>
          </cell>
          <cell r="V232" t="str">
            <v>MEJIA MARISCAL</v>
          </cell>
          <cell r="X232" t="str">
            <v>ICO980722MQ4</v>
          </cell>
          <cell r="AD232">
            <v>43031</v>
          </cell>
          <cell r="AL232" t="str">
            <v>Pavimentación con concreto hidráulico de la Av. Royal Country, segunda etapa, en los fraccionamientos Royal Country, Puerta de Hierro y Puerta Plata, municipio de Zapopan, Jalisco, frente 2.</v>
          </cell>
          <cell r="AM232">
            <v>43031</v>
          </cell>
          <cell r="AN232">
            <v>43106</v>
          </cell>
          <cell r="AS232" t="str">
            <v>Colonia Puerta Plata</v>
          </cell>
        </row>
        <row r="233">
          <cell r="B233" t="str">
            <v>Licitación Pública</v>
          </cell>
          <cell r="D233" t="str">
            <v>DOPI-FED-FF-PAV-LP-177-2017</v>
          </cell>
          <cell r="T233" t="str">
            <v>ERICK</v>
          </cell>
          <cell r="U233" t="str">
            <v>VILLASEÑOR</v>
          </cell>
          <cell r="V233" t="str">
            <v>GUTIÉRREZ</v>
          </cell>
          <cell r="X233" t="str">
            <v>PCO140829425</v>
          </cell>
          <cell r="AD233">
            <v>43031</v>
          </cell>
          <cell r="AL233" t="str">
            <v>Pavimentación de vialidad de acceso a la Unidad Deportiva Villa de Guadalupe, calle San Pedro y calle Febronio Lara, en la colonia Villa de Guadalupe, municipio de Zapopan, Jalisco, frente 1.</v>
          </cell>
          <cell r="AM233">
            <v>43031</v>
          </cell>
          <cell r="AN233">
            <v>43106</v>
          </cell>
          <cell r="AS233" t="str">
            <v>Colonia Villa de Guadalupe</v>
          </cell>
        </row>
        <row r="234">
          <cell r="B234" t="str">
            <v>Licitación Pública</v>
          </cell>
          <cell r="D234" t="str">
            <v>DOPI-FED-FF-PAV-LP-178-2017</v>
          </cell>
          <cell r="T234" t="str">
            <v>FELIPE DANIEL II</v>
          </cell>
          <cell r="U234" t="str">
            <v>NUÑEZ</v>
          </cell>
          <cell r="V234" t="str">
            <v>PINZON</v>
          </cell>
          <cell r="X234" t="str">
            <v>GNU120809KX1</v>
          </cell>
          <cell r="AD234">
            <v>43031</v>
          </cell>
          <cell r="AL234" t="str">
            <v>Pavimentación de vialidad de acceso a la Unidad Deportiva Villa de Guadalupe, calle San Pedro y calle Febronio Lara, en la colonia Villa de Guadalupe, municipio de Zapopan, Jalisco, frente 2.</v>
          </cell>
          <cell r="AM234">
            <v>43031</v>
          </cell>
          <cell r="AN234">
            <v>43106</v>
          </cell>
          <cell r="AS234" t="str">
            <v>Colonia Villa de Guadalupe</v>
          </cell>
        </row>
        <row r="235">
          <cell r="B235" t="str">
            <v>Licitación por Invitación Restringida</v>
          </cell>
          <cell r="D235" t="str">
            <v>DOPI-MUN-RM-SP-CI-184-2017</v>
          </cell>
          <cell r="T235" t="str">
            <v>HÉCTOR MARIO</v>
          </cell>
          <cell r="U235" t="str">
            <v xml:space="preserve">CHAVIRA </v>
          </cell>
          <cell r="V235" t="str">
            <v>PEÑA</v>
          </cell>
          <cell r="X235" t="str">
            <v>HTE990426RR1</v>
          </cell>
          <cell r="AD235">
            <v>43031</v>
          </cell>
          <cell r="AL235" t="str">
            <v>Elaboración de proyecto, obra complementaria suministro de equipos y puesta en marcha del Centro de comando, control, comunicaciones, cómputo y coordinación del complejo C4 en el Edificio de Seguridad Pública en Zapopan, Jalisco.</v>
          </cell>
          <cell r="AM235">
            <v>43031</v>
          </cell>
          <cell r="AN235">
            <v>43179</v>
          </cell>
          <cell r="AS235" t="str">
            <v>Colonia Villa de los Belenes</v>
          </cell>
        </row>
        <row r="236">
          <cell r="B236" t="str">
            <v>Invitación a Cuando Menos Tres Personas</v>
          </cell>
          <cell r="D236" t="str">
            <v>DOPI-FED-FF-PAV-CI-185-2017</v>
          </cell>
          <cell r="T236" t="str">
            <v>JOSÉ OMAR</v>
          </cell>
          <cell r="U236" t="str">
            <v>FERNÁNDEZ</v>
          </cell>
          <cell r="V236" t="str">
            <v>VÁZQUEZ</v>
          </cell>
          <cell r="X236" t="str">
            <v>ECO0908115Z7</v>
          </cell>
          <cell r="AD236">
            <v>43031</v>
          </cell>
          <cell r="AL236" t="str">
            <v>Pavimentación de vialidad de acceso al Centro de Desarrollo Comunitario Miramar, calle Prolongación Guadalupe, en las colonias Miramar y Carlos Rivera Aceves, municipio de Zapopan, Jalisco.</v>
          </cell>
          <cell r="AM236">
            <v>43031</v>
          </cell>
          <cell r="AN236">
            <v>43106</v>
          </cell>
          <cell r="AS236" t="str">
            <v>Colonia Miramar</v>
          </cell>
        </row>
        <row r="237">
          <cell r="B237" t="str">
            <v>Invitación a Cuando Menos Tres Personas</v>
          </cell>
          <cell r="D237" t="str">
            <v>DOPI-FED-FF-PAV-CI-186-2017</v>
          </cell>
          <cell r="T237" t="str">
            <v>JUAN JOSÉ</v>
          </cell>
          <cell r="U237" t="str">
            <v>GUTIÉRREZ</v>
          </cell>
          <cell r="V237" t="str">
            <v>CONTRERAS</v>
          </cell>
          <cell r="X237" t="str">
            <v>RCO130920JX9</v>
          </cell>
          <cell r="AD237">
            <v>43031</v>
          </cell>
          <cell r="AL237" t="str">
            <v>Pavimentación de vialidad de acceso al Centro de Desarrollo Comunitario San Juan de Ocotán, calle 16 de Septiembre, en San Juan de Ocotán, municipio de Zapopan, Jalisco.</v>
          </cell>
          <cell r="AM237">
            <v>43031</v>
          </cell>
          <cell r="AN237">
            <v>43106</v>
          </cell>
          <cell r="AS237" t="str">
            <v>San Juan de Ocotán</v>
          </cell>
        </row>
        <row r="238">
          <cell r="B238" t="str">
            <v>Invitación a Cuando Menos Tres Personas</v>
          </cell>
          <cell r="D238" t="str">
            <v>DOPI-FED-FF-PAV-CI-187-2017</v>
          </cell>
          <cell r="T238" t="str">
            <v xml:space="preserve"> BERNARDO </v>
          </cell>
          <cell r="U238" t="str">
            <v xml:space="preserve">SAENZ </v>
          </cell>
          <cell r="V238" t="str">
            <v>BARBA</v>
          </cell>
          <cell r="X238" t="str">
            <v>GEM070112PX8</v>
          </cell>
          <cell r="AD238">
            <v>43031</v>
          </cell>
          <cell r="AL238" t="str">
            <v>Pavimentación de vialidad de acceso a la Unidad Paseos del Briseño, calle Magnolia, en las colonias Paseos del Briseño y Agrícola, municipio de Zapopan, Jalisco.</v>
          </cell>
          <cell r="AM238">
            <v>43031</v>
          </cell>
          <cell r="AN238">
            <v>43106</v>
          </cell>
          <cell r="AS238" t="str">
            <v>Colonias Paseos del Briseño y Agrícola</v>
          </cell>
        </row>
        <row r="239">
          <cell r="B239" t="str">
            <v>Invitación a Cuando Menos Tres Personas</v>
          </cell>
          <cell r="D239" t="str">
            <v>DOPI-FED-FF-PAV-CI-188-2017</v>
          </cell>
          <cell r="T239" t="str">
            <v>ÁNGEL SALOMÓN</v>
          </cell>
          <cell r="U239" t="str">
            <v>RINCÓN</v>
          </cell>
          <cell r="V239" t="str">
            <v>DE LA ROSA</v>
          </cell>
          <cell r="X239" t="str">
            <v>AAR120507VA9</v>
          </cell>
          <cell r="AD239">
            <v>43031</v>
          </cell>
          <cell r="AL239" t="str">
            <v>Reencarpetado y peatonalización de vialidad de acceso a la Unidad Deportiva Santa María del Pueblito, calle independencia, en Santa María del Pueblito, municipio de Zapopan, Jalisco.</v>
          </cell>
          <cell r="AM239">
            <v>43031</v>
          </cell>
          <cell r="AN239">
            <v>43106</v>
          </cell>
          <cell r="AS239" t="str">
            <v>Colonia Santa Maria del Pueblito</v>
          </cell>
        </row>
        <row r="240">
          <cell r="B240" t="str">
            <v>Invitación a Cuando Menos Tres Personas</v>
          </cell>
          <cell r="D240" t="str">
            <v>DOPI-FED-FF-PAV-CI-189-2017</v>
          </cell>
          <cell r="T240" t="str">
            <v>RODRIGO</v>
          </cell>
          <cell r="U240" t="str">
            <v>RAMOS</v>
          </cell>
          <cell r="V240" t="str">
            <v>GARIBI</v>
          </cell>
          <cell r="X240" t="str">
            <v>CMA070307RU6</v>
          </cell>
          <cell r="AD240">
            <v>43031</v>
          </cell>
          <cell r="AL240" t="str">
            <v>Reencarpetado y peatonalización de vialidad de acceso a la Unidad Deportiva Santa Margarita, calle Santa Matilde, en la colonia Santa Margarita, municipio de Zapopan, Jalisco.</v>
          </cell>
          <cell r="AM240">
            <v>43031</v>
          </cell>
          <cell r="AN240">
            <v>43106</v>
          </cell>
          <cell r="AS240" t="str">
            <v>Colonia Santa Margarita</v>
          </cell>
        </row>
        <row r="241">
          <cell r="B241" t="str">
            <v>Invitación a Cuando Menos Tres Personas</v>
          </cell>
          <cell r="D241" t="str">
            <v>DOPI-FED-FF-DS-CI-190-2017</v>
          </cell>
          <cell r="T241" t="str">
            <v>CARLOS</v>
          </cell>
          <cell r="U241" t="str">
            <v>PÉREZ</v>
          </cell>
          <cell r="V241" t="str">
            <v>CRUZ</v>
          </cell>
          <cell r="X241" t="str">
            <v>CPE070123PD4</v>
          </cell>
          <cell r="AD241">
            <v>43031</v>
          </cell>
          <cell r="AL241" t="str">
            <v>Construcción de colector pluvial sobre la calle Cuarta Poniente, en la colonia Nuevo México, municipio de Zapopan, Jalisco.</v>
          </cell>
          <cell r="AM241">
            <v>43031</v>
          </cell>
          <cell r="AN241">
            <v>43106</v>
          </cell>
          <cell r="AS241" t="str">
            <v>Colonia Nuevo México</v>
          </cell>
        </row>
        <row r="242">
          <cell r="B242" t="str">
            <v>Invitación a Cuando Menos Tres Personas</v>
          </cell>
          <cell r="D242" t="str">
            <v>DOPI-FED-FF-DS-CI-191-2017</v>
          </cell>
          <cell r="T242" t="str">
            <v>ALFREDO</v>
          </cell>
          <cell r="U242" t="str">
            <v>AGUIRRE</v>
          </cell>
          <cell r="V242" t="str">
            <v>MONTOYA</v>
          </cell>
          <cell r="X242" t="str">
            <v>TAI920312952</v>
          </cell>
          <cell r="AD242">
            <v>43031</v>
          </cell>
          <cell r="AL242" t="str">
            <v>Construcción de colector pluvial calle Atotonilco, en la colonia Nuevo México, municipio de Zapopan, Jalisco.</v>
          </cell>
          <cell r="AM242">
            <v>43031</v>
          </cell>
          <cell r="AN242">
            <v>43106</v>
          </cell>
          <cell r="AS242" t="str">
            <v>Colonia Nuevo México</v>
          </cell>
        </row>
        <row r="243">
          <cell r="B243" t="str">
            <v>Licitación Pública</v>
          </cell>
          <cell r="D243" t="str">
            <v>DOPI-MUN-CUSMAX-IU-LP-192-2017</v>
          </cell>
          <cell r="T243" t="str">
            <v>EDWIN</v>
          </cell>
          <cell r="U243" t="str">
            <v>AGUIAR</v>
          </cell>
          <cell r="V243" t="str">
            <v>ESCATEL</v>
          </cell>
          <cell r="X243" t="str">
            <v>MUR090325P33</v>
          </cell>
          <cell r="AD243">
            <v>43047</v>
          </cell>
          <cell r="AL243" t="str">
            <v>Construcción de Plazoleta sobre Av. Virreyes, Zona Comercial Landmark-Andares, zona Andares, primera etapa: losas de cubierta, ductería eléctrica, ajuste de geometría, adecuaciones hidrosanitarias y pluviales, municipio de Zapopan, Jalisco.</v>
          </cell>
          <cell r="AM243">
            <v>43047</v>
          </cell>
          <cell r="AN243">
            <v>42801</v>
          </cell>
          <cell r="AS243" t="str">
            <v>Zona Andares</v>
          </cell>
        </row>
        <row r="244">
          <cell r="B244" t="str">
            <v>Licitación Pública</v>
          </cell>
          <cell r="D244" t="str">
            <v>DOPI-MUN-CUSMAX-IU-LP-193-2017</v>
          </cell>
          <cell r="T244" t="str">
            <v>JUAN JOSÉ</v>
          </cell>
          <cell r="U244" t="str">
            <v>GUTIÉRREZ</v>
          </cell>
          <cell r="V244" t="str">
            <v>CONTRERAS</v>
          </cell>
          <cell r="X244" t="str">
            <v>RCO130920JX9</v>
          </cell>
          <cell r="AD244">
            <v>43047</v>
          </cell>
          <cell r="AL244" t="str">
            <v>Construcción de Plazoleta sobre Av. Virreyes, Zona Comercial Landmark-Andares, zona Andares, segunda etapa: banquetas, accesibilidad, mobiliario urbano, iluminación y jardinería, municipio de Zapopan, Jalisco.</v>
          </cell>
          <cell r="AM244">
            <v>43047</v>
          </cell>
          <cell r="AN244">
            <v>43166</v>
          </cell>
          <cell r="AS244" t="str">
            <v>Zona Andares</v>
          </cell>
        </row>
        <row r="245">
          <cell r="B245" t="str">
            <v>Licitación Pública</v>
          </cell>
          <cell r="D245" t="str">
            <v>DOPI-MUN-CUSMAX-IU-LP-194-2017</v>
          </cell>
          <cell r="T245" t="str">
            <v>ENRIQUE CHRISTIAN</v>
          </cell>
          <cell r="U245" t="str">
            <v>ANSHIRO MINAKATA</v>
          </cell>
          <cell r="V245" t="str">
            <v>MORENTIN</v>
          </cell>
          <cell r="X245" t="str">
            <v>CMI110222AA0</v>
          </cell>
          <cell r="AD245">
            <v>43047</v>
          </cell>
          <cell r="AL245" t="str">
            <v>Sistema de retención y control de escurrimientos pluviales, Parque Novelistas, municipio de Zapopan, Jalisco.</v>
          </cell>
          <cell r="AM245">
            <v>43047</v>
          </cell>
          <cell r="AN245">
            <v>43166</v>
          </cell>
          <cell r="AS245" t="str">
            <v>Colonia Jardines Vallarta</v>
          </cell>
        </row>
        <row r="246">
          <cell r="B246" t="str">
            <v>Licitación Pública</v>
          </cell>
          <cell r="D246" t="str">
            <v>DOPI-MUN-CUSMAX-IS-LP-195-2017</v>
          </cell>
          <cell r="T246" t="str">
            <v>ARTURO</v>
          </cell>
          <cell r="U246" t="str">
            <v>SARMIENTO</v>
          </cell>
          <cell r="V246" t="str">
            <v>SÁNCHEZ</v>
          </cell>
          <cell r="X246" t="str">
            <v>CON020208696</v>
          </cell>
          <cell r="AD246">
            <v>43047</v>
          </cell>
          <cell r="AL246" t="str">
            <v>Construcción de Centro de Atención a niños con Autismo, municipio de Zapopan, Jalisco.</v>
          </cell>
          <cell r="AM246">
            <v>43047</v>
          </cell>
          <cell r="AN246">
            <v>43137</v>
          </cell>
        </row>
        <row r="247">
          <cell r="B247" t="str">
            <v>Concurso por Invitación</v>
          </cell>
          <cell r="D247" t="str">
            <v>DOPI-EST-CR-BAN-CI-197-2017</v>
          </cell>
          <cell r="T247" t="str">
            <v>JESÚS DAVID</v>
          </cell>
          <cell r="U247" t="str">
            <v xml:space="preserve">GARZA </v>
          </cell>
          <cell r="V247" t="str">
            <v>GARCÍA</v>
          </cell>
          <cell r="X247" t="str">
            <v>CEA010615GT0</v>
          </cell>
          <cell r="AD247">
            <v>43031</v>
          </cell>
          <cell r="AL247" t="str">
            <v>Peatonalización, construcción de banquetas, sustitución de guarniciones, bolardos, primera etapa en la colonia Santa Margarita, municipio de Zapopan, Jalisco.</v>
          </cell>
          <cell r="AM247">
            <v>43031</v>
          </cell>
          <cell r="AN247">
            <v>43106</v>
          </cell>
          <cell r="AS247" t="str">
            <v>Colonia Santa Margarita</v>
          </cell>
        </row>
        <row r="248">
          <cell r="B248" t="str">
            <v>Concurso por Invitación</v>
          </cell>
          <cell r="D248" t="str">
            <v>DOPI-EST-CR-PAV-CI-198-2017</v>
          </cell>
          <cell r="T248" t="str">
            <v>VICTOR</v>
          </cell>
          <cell r="U248" t="str">
            <v>ZAYAS</v>
          </cell>
          <cell r="V248" t="str">
            <v>RIQUELME</v>
          </cell>
          <cell r="X248" t="str">
            <v>GIC810323RA6</v>
          </cell>
          <cell r="AD248">
            <v>43031</v>
          </cell>
          <cell r="AL248" t="str">
            <v>Reencarpetamiento de calles en la colonia Lomas de Tabachines, incluye: guarniciones, banquetas, renivelación de pozos y cajas, señalamiento vertical y horizontal, municipio de Zapopan, Jalisco.</v>
          </cell>
          <cell r="AM248">
            <v>43031</v>
          </cell>
          <cell r="AN248">
            <v>43106</v>
          </cell>
          <cell r="AS248" t="str">
            <v>Colonia Lomas de Tabachines</v>
          </cell>
        </row>
        <row r="249">
          <cell r="B249" t="str">
            <v>Concurso por Invitación</v>
          </cell>
          <cell r="D249" t="str">
            <v>DOPI-EST-CR-PAV-CI-199-2017</v>
          </cell>
          <cell r="T249" t="str">
            <v>GUILLERMO</v>
          </cell>
          <cell r="U249" t="str">
            <v>LARA</v>
          </cell>
          <cell r="V249" t="str">
            <v>VARGAS</v>
          </cell>
          <cell r="X249" t="str">
            <v>DGL060620SUA</v>
          </cell>
          <cell r="AD249">
            <v>43031</v>
          </cell>
          <cell r="AL249" t="str">
            <v>Reencarpetamiento de vialidades en la colonia Parque del Auditorio, incluye: guarniciones, banquetas, renivelaciones de pozos y cajas, señalamiento vertical y horizontal, municipio de Zapopan, Jalisco.</v>
          </cell>
          <cell r="AM249">
            <v>43031</v>
          </cell>
          <cell r="AN249">
            <v>43106</v>
          </cell>
          <cell r="AS249" t="str">
            <v>Colonia Parque del Auditorio</v>
          </cell>
        </row>
        <row r="250">
          <cell r="B250" t="str">
            <v>Concurso por Invitación</v>
          </cell>
          <cell r="D250" t="str">
            <v>DOPI-EST-CR-PAV-CI-200-2017</v>
          </cell>
          <cell r="T250" t="str">
            <v>SERGIO ALBERTO</v>
          </cell>
          <cell r="U250" t="str">
            <v>BAYLON</v>
          </cell>
          <cell r="V250" t="str">
            <v>MORENO</v>
          </cell>
          <cell r="X250" t="str">
            <v>EEC9909173A7</v>
          </cell>
          <cell r="AD250">
            <v>43031</v>
          </cell>
          <cell r="AL250" t="str">
            <v>Construcción de la segunda etapa de la calle Hidalgo, con concreto hidráulico en San Juan de Ocotán, incluye: guarniciones, banquetas y alumbrado público, Municipio de Zapopan, Jalisco.</v>
          </cell>
          <cell r="AM250">
            <v>43031</v>
          </cell>
          <cell r="AN250">
            <v>43106</v>
          </cell>
          <cell r="AS250" t="str">
            <v>San Juan de Ocotán</v>
          </cell>
        </row>
        <row r="251">
          <cell r="B251" t="str">
            <v>Concurso por Invitación</v>
          </cell>
          <cell r="D251" t="str">
            <v>DOPI-EST-CM-PAV-CI-201-2017</v>
          </cell>
          <cell r="T251" t="str">
            <v>ANA KARINA</v>
          </cell>
          <cell r="U251" t="str">
            <v>OJEDA</v>
          </cell>
          <cell r="V251" t="str">
            <v>FERRELL</v>
          </cell>
          <cell r="X251" t="str">
            <v>KCI120928CD5</v>
          </cell>
          <cell r="AD251">
            <v>43031</v>
          </cell>
          <cell r="AL251" t="str">
            <v>Renovación urbana en área habitacional y de zona comercial de Av. López Mateos, de las Águilas a Plaza del Sol, en el municipio de Zapopan, Jalisco.</v>
          </cell>
          <cell r="AM251">
            <v>43031</v>
          </cell>
          <cell r="AN251">
            <v>43106</v>
          </cell>
          <cell r="AS251" t="str">
            <v>Colonia Las Águilas</v>
          </cell>
        </row>
        <row r="252">
          <cell r="B252" t="str">
            <v>Licitación Pública</v>
          </cell>
          <cell r="D252" t="str">
            <v>DOPI-MUN-CUSMAX-IS-LP-203-2017</v>
          </cell>
          <cell r="T252" t="str">
            <v xml:space="preserve">EDUARDO </v>
          </cell>
          <cell r="U252" t="str">
            <v>CRUZ</v>
          </cell>
          <cell r="V252" t="str">
            <v>MOGUEL</v>
          </cell>
          <cell r="X252" t="str">
            <v>BAL990803661</v>
          </cell>
          <cell r="AD252">
            <v>43047</v>
          </cell>
          <cell r="AL252" t="str">
            <v>Construcción de Alberca para Rehabilitación de niños con Fibrosis Muscular, municipio de Zapopan, Jalisco.</v>
          </cell>
          <cell r="AM252">
            <v>43047</v>
          </cell>
          <cell r="AN252">
            <v>43166</v>
          </cell>
        </row>
        <row r="253">
          <cell r="B253" t="str">
            <v>Licitación por Invitación Restringida</v>
          </cell>
          <cell r="D253" t="str">
            <v>DOPI-MUN-RM-PAV-CI-216-2017</v>
          </cell>
          <cell r="T253" t="str">
            <v>JUAN</v>
          </cell>
          <cell r="U253" t="str">
            <v>PADILLA</v>
          </cell>
          <cell r="V253" t="str">
            <v>AILHAUD</v>
          </cell>
          <cell r="X253" t="str">
            <v>TCM0111148H5</v>
          </cell>
          <cell r="AD253">
            <v>43047</v>
          </cell>
          <cell r="AL253" t="str">
            <v>Pavimentación con concreto hidráulico de calle Ignacio Zaragoza, de calle Vicente Guerrero a calle Justo Sierra, incluye agua potable, drenaje, guarniciones, banquetas, servicios complementarios y señalética, en la colonia Agua Blanca Industrial, primera etapa, municipio de Zapopan, Jalisco.</v>
          </cell>
          <cell r="AM253">
            <v>43047</v>
          </cell>
          <cell r="AN253">
            <v>43133</v>
          </cell>
          <cell r="AS253" t="str">
            <v>Colonia Agua Blanca</v>
          </cell>
        </row>
        <row r="254">
          <cell r="B254" t="str">
            <v>Licitación por Invitación Restringida</v>
          </cell>
          <cell r="D254" t="str">
            <v>DOPI-MUN-R33R-IH-CI-217-2017</v>
          </cell>
          <cell r="T254" t="str">
            <v xml:space="preserve">NÉSTOR </v>
          </cell>
          <cell r="U254" t="str">
            <v>DE LA TORRE</v>
          </cell>
          <cell r="V254" t="str">
            <v>MENCHACA</v>
          </cell>
          <cell r="X254" t="str">
            <v>ITO951005HY5</v>
          </cell>
          <cell r="AD254">
            <v>43047</v>
          </cell>
          <cell r="AL254" t="str">
            <v>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v>
          </cell>
          <cell r="AM254">
            <v>43047</v>
          </cell>
          <cell r="AN254">
            <v>43102</v>
          </cell>
          <cell r="AS254" t="str">
            <v>Colonia Lomas de la Primavera</v>
          </cell>
        </row>
        <row r="255">
          <cell r="B255" t="str">
            <v>Licitación por Invitación Restringida</v>
          </cell>
          <cell r="D255" t="str">
            <v>DOPI-MUN-RM-IM-CI-218-2017</v>
          </cell>
          <cell r="T255" t="str">
            <v xml:space="preserve">EDUARDO </v>
          </cell>
          <cell r="U255" t="str">
            <v>CORTES</v>
          </cell>
          <cell r="V255" t="str">
            <v>ALARCON</v>
          </cell>
          <cell r="X255" t="str">
            <v>DCO160318SK7</v>
          </cell>
          <cell r="AD255">
            <v>43047</v>
          </cell>
          <cell r="AL255" t="str">
            <v>Construcción de puente peatonal en López Mateos Sur – El Campanario, municipio de Zapopan, Jalisco.</v>
          </cell>
          <cell r="AM255">
            <v>43047</v>
          </cell>
          <cell r="AN255">
            <v>43133</v>
          </cell>
          <cell r="AS255" t="str">
            <v>Colonia El Campanario</v>
          </cell>
        </row>
        <row r="256">
          <cell r="B256" t="str">
            <v>Licitación por Invitación Restringida</v>
          </cell>
          <cell r="D256" t="str">
            <v>DOPI-MUN-FORTA-IM-CI-219-2017</v>
          </cell>
          <cell r="T256" t="str">
            <v xml:space="preserve">EDUARDO </v>
          </cell>
          <cell r="U256" t="str">
            <v>PLASCENCIA</v>
          </cell>
          <cell r="V256" t="str">
            <v>MACIAS</v>
          </cell>
          <cell r="X256" t="str">
            <v>CEP080129EK6</v>
          </cell>
          <cell r="AD256">
            <v>43047</v>
          </cell>
          <cell r="AL256" t="str">
            <v>Obra complementaria en la rehabilitación de la Cruz Verde Las Águilas, ubicada en Av. López Mateos y calle Cruz del Sur, en la colonia Las Águilas, municipio de Zapopan, Jalisco.</v>
          </cell>
          <cell r="AM256">
            <v>43047</v>
          </cell>
          <cell r="AN256">
            <v>43133</v>
          </cell>
          <cell r="AS256" t="str">
            <v>Colonia Las Aguilas</v>
          </cell>
        </row>
        <row r="257">
          <cell r="B257" t="str">
            <v>Licitación por Invitación Restringida</v>
          </cell>
          <cell r="D257" t="str">
            <v>DOPI-MUN-CUSMAX-IE-CI-220-2017</v>
          </cell>
          <cell r="T257" t="str">
            <v>JOSÉ ANTONIO</v>
          </cell>
          <cell r="U257" t="str">
            <v>ÁLVAREZ</v>
          </cell>
          <cell r="V257" t="str">
            <v>ZULOAGA</v>
          </cell>
          <cell r="X257" t="str">
            <v>GDA150928286</v>
          </cell>
          <cell r="AD257">
            <v>43047</v>
          </cell>
          <cell r="AL257" t="str">
            <v>Estructuras con lonaria para protección de rayos ultravioleta, en Primaria Federal Calmecac Clave: 14DPR1367L, Escuela 1286, Francisco Urquizo Benavides Clave: 14EPR1612E y Secundaria mixta 85 José Rogelio Álvarez Clave: 14EES0100R, municipio de Zapopan, Jalisco.</v>
          </cell>
          <cell r="AM257">
            <v>43047</v>
          </cell>
          <cell r="AN257">
            <v>43161</v>
          </cell>
        </row>
        <row r="258">
          <cell r="B258" t="str">
            <v>Licitación por Invitación Restringida</v>
          </cell>
          <cell r="D258" t="str">
            <v>DOPI-MUN-CUSMAX-IE-CI-221-2017</v>
          </cell>
          <cell r="T258" t="str">
            <v>ARTURO</v>
          </cell>
          <cell r="U258" t="str">
            <v>BOJORQUEZ</v>
          </cell>
          <cell r="V258" t="str">
            <v>RIZO</v>
          </cell>
          <cell r="X258" t="str">
            <v>ECL1301313F1</v>
          </cell>
          <cell r="AD258">
            <v>43047</v>
          </cell>
          <cell r="AL258" t="str">
            <v>Estructuras con lonaria para protección de rayos ultravioleta, en Escuela Ignacio Zaragoza, Clave: 14DPR1389X, Jardín de niños Socorro Jiménez Carrillo, Clave: 14DJN1978V y Escuela Urbana No. 1024 Ricardo Flores Magón, Clave: 14EPR1459A, municipio de Zapopan, Jalisco.</v>
          </cell>
          <cell r="AM258">
            <v>43047</v>
          </cell>
          <cell r="AN258">
            <v>43161</v>
          </cell>
        </row>
        <row r="259">
          <cell r="B259" t="str">
            <v>Licitación por Invitación Restringida</v>
          </cell>
          <cell r="D259" t="str">
            <v>DOPI-MUN-CUSMAX-IE-CI-222-2017</v>
          </cell>
          <cell r="T259" t="str">
            <v xml:space="preserve">MARCO ANTONIO </v>
          </cell>
          <cell r="U259" t="str">
            <v>LOZANO</v>
          </cell>
          <cell r="V259" t="str">
            <v>ESTRADA</v>
          </cell>
          <cell r="X259" t="str">
            <v>DFU090928JB5</v>
          </cell>
          <cell r="AD259">
            <v>43047</v>
          </cell>
          <cell r="AL259" t="str">
            <v>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v>
          </cell>
          <cell r="AM259">
            <v>43047</v>
          </cell>
          <cell r="AN259">
            <v>43161</v>
          </cell>
        </row>
        <row r="260">
          <cell r="B260" t="str">
            <v>Licitación por Invitación Restringida</v>
          </cell>
          <cell r="D260" t="str">
            <v>DOPI-MUN-CUSMAX-DS-CI-224-2017</v>
          </cell>
          <cell r="T260" t="str">
            <v>SERGIO ALBERTO</v>
          </cell>
          <cell r="U260" t="str">
            <v>BAYLON</v>
          </cell>
          <cell r="V260" t="str">
            <v>MORENO</v>
          </cell>
          <cell r="X260" t="str">
            <v>EEC9909173A7</v>
          </cell>
          <cell r="AD260">
            <v>43047</v>
          </cell>
          <cell r="AL260" t="str">
            <v>Construcción de Colector Pluvial en La Venta del Astillero, frente 1, municipio de Zapopan, Jalisco.</v>
          </cell>
          <cell r="AM260">
            <v>43047</v>
          </cell>
          <cell r="AN260">
            <v>43161</v>
          </cell>
          <cell r="AS260" t="str">
            <v>Localidad La Venta del Astillero</v>
          </cell>
        </row>
        <row r="261">
          <cell r="B261" t="str">
            <v>Licitación por Invitación Restringida</v>
          </cell>
          <cell r="D261" t="str">
            <v>DOPI-MUN-CUSMAX-DS-CI-225-2017</v>
          </cell>
          <cell r="T261" t="str">
            <v xml:space="preserve"> BERNARDO </v>
          </cell>
          <cell r="U261" t="str">
            <v xml:space="preserve">SAENZ </v>
          </cell>
          <cell r="V261" t="str">
            <v>BARBA</v>
          </cell>
          <cell r="X261" t="str">
            <v>GEM070112PX8</v>
          </cell>
          <cell r="AD261">
            <v>43047</v>
          </cell>
          <cell r="AL261" t="str">
            <v>Construcción de Colector Pluvial en La Venta del Astillero, frente 2, municipio de Zapopan, Jalisco.</v>
          </cell>
          <cell r="AM261">
            <v>43047</v>
          </cell>
          <cell r="AN261">
            <v>43161</v>
          </cell>
          <cell r="AS261" t="str">
            <v>Localidad La Venta del Astillero</v>
          </cell>
        </row>
        <row r="262">
          <cell r="B262" t="str">
            <v>Licitación por Invitación Restringida</v>
          </cell>
          <cell r="D262" t="str">
            <v>DOPI-MUN-CUSMAX-BAN-CI-226-2017</v>
          </cell>
          <cell r="T262" t="str">
            <v>ADALBERTO</v>
          </cell>
          <cell r="U262" t="str">
            <v>MEDINA</v>
          </cell>
          <cell r="V262" t="str">
            <v>MORALES</v>
          </cell>
          <cell r="X262" t="str">
            <v>URD130830U21</v>
          </cell>
          <cell r="AD262">
            <v>43047</v>
          </cell>
          <cell r="AL262" t="str">
            <v>Primera etapa de la peatonalización en la colonia Chapalita de Occidente (incluye: machuelos, banquetas, accesibilidad universal, bolardos y nomenclatura), municipio de Zapopan, Jalisco.</v>
          </cell>
          <cell r="AM262">
            <v>43047</v>
          </cell>
          <cell r="AN262">
            <v>43133</v>
          </cell>
          <cell r="AS262" t="str">
            <v>Colonia Chapalita de Occidente</v>
          </cell>
        </row>
        <row r="263">
          <cell r="B263" t="str">
            <v>Licitación por Invitación Restringida</v>
          </cell>
          <cell r="D263" t="str">
            <v>DOPI-MUN-CUSMAX-BAN-CI-227-2017</v>
          </cell>
          <cell r="T263" t="str">
            <v xml:space="preserve">GUILLERMO ALBERTO </v>
          </cell>
          <cell r="U263" t="str">
            <v>RODRÍGUEZ</v>
          </cell>
          <cell r="V263" t="str">
            <v>ALLENDE</v>
          </cell>
          <cell r="X263" t="str">
            <v>GCM121112J86</v>
          </cell>
          <cell r="AD263">
            <v>43047</v>
          </cell>
          <cell r="AL263" t="str">
            <v>Primera etapa de la peatonalización en la colonia Jardines de Guadalupe (incluye: machuelos, banquetas, accesibilidad universal, bolardos y nomenclatura), municipio de Zapopan, Jalisco.</v>
          </cell>
          <cell r="AM263">
            <v>43047</v>
          </cell>
          <cell r="AN263">
            <v>43133</v>
          </cell>
          <cell r="AS263" t="str">
            <v>Colonia Jardines de Guadalupe</v>
          </cell>
        </row>
        <row r="264">
          <cell r="B264" t="str">
            <v>Licitación por Invitación Restringida</v>
          </cell>
          <cell r="D264" t="str">
            <v>DOPI-MUN-CUSMAX-IU-CI-228-2017</v>
          </cell>
          <cell r="T264" t="str">
            <v>CARLOS</v>
          </cell>
          <cell r="U264" t="str">
            <v>PÉREZ</v>
          </cell>
          <cell r="V264" t="str">
            <v>CRUZ</v>
          </cell>
          <cell r="X264" t="str">
            <v>CPE070123PD4</v>
          </cell>
          <cell r="AD264">
            <v>43047</v>
          </cell>
          <cell r="AL264" t="str">
            <v>Construcción de Parque Lineal en la Av. Patria de Av. Acueducto - Eva Briseño-Av. Américas, primera etapa: desazolve y rectificación del cauce, muro de protección, alcantarillas pluviales, estructura para cruce peatonal de alcantarilla pluvial y lavaderos, municipio de Zapopan, Jalisco.</v>
          </cell>
          <cell r="AM264">
            <v>43047</v>
          </cell>
          <cell r="AN264">
            <v>43133</v>
          </cell>
          <cell r="AS264" t="str">
            <v>Zona Andares</v>
          </cell>
        </row>
        <row r="265">
          <cell r="B265" t="str">
            <v>Licitación por Invitación Restringida</v>
          </cell>
          <cell r="D265" t="str">
            <v>DOPI-MUN-RM-PAV-CI-235-2017</v>
          </cell>
          <cell r="T265" t="str">
            <v>ELVIA ALEJANDRA</v>
          </cell>
          <cell r="U265" t="str">
            <v>TORRES</v>
          </cell>
          <cell r="V265" t="str">
            <v>VILLA</v>
          </cell>
          <cell r="X265" t="str">
            <v>PRO0205208F2</v>
          </cell>
          <cell r="AD265">
            <v>43047</v>
          </cell>
          <cell r="AL265" t="str">
            <v>Construcción de vialidad de ingreso a la preparatoria de la Universidad de Guadalajara, incluye: guarniciones, banquetas, red de agua potable y alcantarillado y servicios complementarios, en el Ejido Copalita, municipio de Zapopan, Jalisco, frente 1.</v>
          </cell>
          <cell r="AM265">
            <v>43047</v>
          </cell>
          <cell r="AN265">
            <v>43161</v>
          </cell>
          <cell r="AS265" t="str">
            <v>Ejido Copalita</v>
          </cell>
        </row>
        <row r="267">
          <cell r="B267" t="str">
            <v>Licitación por Invitación Restringida</v>
          </cell>
          <cell r="D267" t="str">
            <v>DOPI-MUN-CUSMAX-BAN-CI-237-2017</v>
          </cell>
          <cell r="T267" t="str">
            <v>ROBERTO</v>
          </cell>
          <cell r="U267" t="str">
            <v>FLORES</v>
          </cell>
          <cell r="V267" t="str">
            <v>ARREOLA</v>
          </cell>
          <cell r="X267" t="str">
            <v>ESC930617KW9</v>
          </cell>
          <cell r="AD267">
            <v>43047</v>
          </cell>
          <cell r="AL267" t="str">
            <v>Primera etapa de la peatonalización en la colonia Rinconada del Sol (incluye: machuelos, banquetas, accesibilidad universal, bolardos y nomenclatura), municipio de Zapopan, Jalisco.</v>
          </cell>
          <cell r="AM267">
            <v>43047</v>
          </cell>
          <cell r="AN267">
            <v>43133</v>
          </cell>
          <cell r="AS267" t="str">
            <v>Colonia Rinconada del Sol</v>
          </cell>
        </row>
        <row r="268">
          <cell r="B268" t="str">
            <v>Licitación por Invitación Restringida</v>
          </cell>
          <cell r="D268" t="str">
            <v>DOPI-MUN-CUSMAX-BAN-CI-238-2017</v>
          </cell>
          <cell r="T268" t="str">
            <v xml:space="preserve">ARTURO </v>
          </cell>
          <cell r="U268" t="str">
            <v>MONTUFAR</v>
          </cell>
          <cell r="V268" t="str">
            <v>NUÑEZ</v>
          </cell>
          <cell r="X268" t="str">
            <v>VPC0012148K0</v>
          </cell>
          <cell r="AD268">
            <v>43047</v>
          </cell>
          <cell r="AL268" t="str">
            <v>Primera etapa de la peatonalización en las colonias Loma Bonita, Loma Bonita Sur y Rinconada de la Calma (incluye: machuelos, banquetas, accesibilidad universal, bolardos y nomenclatura), municipio de Zapopan, Jalisco.</v>
          </cell>
          <cell r="AM268">
            <v>43047</v>
          </cell>
          <cell r="AN268">
            <v>43133</v>
          </cell>
          <cell r="AS268" t="str">
            <v>Colonias Loma Bonita, Loma Bonita Sur y Rinconada de la Calma</v>
          </cell>
        </row>
        <row r="269">
          <cell r="B269" t="str">
            <v>Licitación por Invitación Restringida</v>
          </cell>
          <cell r="D269" t="str">
            <v>DOPI-MUN-CUSMAX-ID-CI-239-2017</v>
          </cell>
          <cell r="T269" t="str">
            <v>JAIME FERNANDO</v>
          </cell>
          <cell r="U269" t="str">
            <v>ÁLVAREZ</v>
          </cell>
          <cell r="V269" t="str">
            <v>LOZANO</v>
          </cell>
          <cell r="X269" t="str">
            <v>IMU120820NM7</v>
          </cell>
          <cell r="AD269">
            <v>43047</v>
          </cell>
          <cell r="AL269" t="str">
            <v>Construcción de cancha de Futbol Americano, en la Unidad Deportiva Tabachines, municipio de Zapopan, Jalisco.</v>
          </cell>
          <cell r="AM269">
            <v>43047</v>
          </cell>
          <cell r="AN269">
            <v>43133</v>
          </cell>
          <cell r="AS269" t="str">
            <v>Colonia Tabachines</v>
          </cell>
        </row>
        <row r="270">
          <cell r="B270" t="str">
            <v>Licitación Pública</v>
          </cell>
          <cell r="D270" t="str">
            <v>DOPI-MUN-PP-PAV-LP-254-2017</v>
          </cell>
          <cell r="T270" t="str">
            <v>IGNACIO JAVIER</v>
          </cell>
          <cell r="U270" t="str">
            <v>CURIEL</v>
          </cell>
          <cell r="V270" t="str">
            <v>DUEÑAS</v>
          </cell>
          <cell r="X270" t="str">
            <v>TCM100915HA1</v>
          </cell>
          <cell r="AD270">
            <v>43089</v>
          </cell>
          <cell r="AL270" t="str">
            <v>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v>
          </cell>
          <cell r="AM270">
            <v>43089</v>
          </cell>
          <cell r="AN270">
            <v>43237</v>
          </cell>
          <cell r="AS270" t="str">
            <v>Colonia Nuevo México</v>
          </cell>
        </row>
        <row r="271">
          <cell r="B271" t="str">
            <v>Licitación Pública</v>
          </cell>
          <cell r="D271" t="str">
            <v>DOPI-MUN-PP-PAV-LP-255-2017</v>
          </cell>
          <cell r="T271" t="str">
            <v>ARTURO</v>
          </cell>
          <cell r="U271" t="str">
            <v>SARMIENTO</v>
          </cell>
          <cell r="V271" t="str">
            <v>SÁNCHEZ</v>
          </cell>
          <cell r="X271" t="str">
            <v>CON020208696</v>
          </cell>
          <cell r="AD271">
            <v>43089</v>
          </cell>
          <cell r="AL271" t="str">
            <v>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v>
          </cell>
          <cell r="AM271">
            <v>43089</v>
          </cell>
          <cell r="AN271">
            <v>43237</v>
          </cell>
          <cell r="AS271" t="str">
            <v>Colonia Nuevo México</v>
          </cell>
        </row>
        <row r="272">
          <cell r="B272" t="str">
            <v>Licitación Pública</v>
          </cell>
          <cell r="D272" t="str">
            <v>DOPI-MUN-PP-PAV-LP-256-2017</v>
          </cell>
          <cell r="T272" t="str">
            <v>ANA KARINA</v>
          </cell>
          <cell r="U272" t="str">
            <v>OJEDA</v>
          </cell>
          <cell r="V272" t="str">
            <v>FERRELL</v>
          </cell>
          <cell r="X272" t="str">
            <v>KCI120928CD5</v>
          </cell>
          <cell r="AD272">
            <v>43089</v>
          </cell>
          <cell r="AL272" t="str">
            <v>Pavimentación con concreto hidráulico de los carriles centrales en la Av. López Mateos en el tramo de Av. Copérnico a la Av. La Giralda, incluye: infraestructura hidráulica, municipio de Zapopan, Jalisco.</v>
          </cell>
          <cell r="AM272">
            <v>43089</v>
          </cell>
          <cell r="AN272">
            <v>43192</v>
          </cell>
          <cell r="AS272" t="str">
            <v>Colonia La Calma</v>
          </cell>
        </row>
        <row r="273">
          <cell r="B273" t="str">
            <v>Licitación Pública</v>
          </cell>
          <cell r="D273" t="str">
            <v>DOPI-MUN-PP-PAV-LP-257-2017</v>
          </cell>
          <cell r="T273" t="str">
            <v>ALEJANDRO</v>
          </cell>
          <cell r="U273" t="str">
            <v>GUEVARA</v>
          </cell>
          <cell r="V273" t="str">
            <v>CASTELLANOS</v>
          </cell>
          <cell r="X273" t="str">
            <v>UCA0207107X6</v>
          </cell>
          <cell r="AD273">
            <v>43089</v>
          </cell>
          <cell r="AL273" t="str">
            <v>Pavimentación con concreto hidráulico de los carriles centrales en la Av. López Mateos en el tramo de Av. La Giralda al límite municipal, incluye: infraestructura hidráulica, municipio de Zapopan, Jalisco.</v>
          </cell>
          <cell r="AM273">
            <v>43089</v>
          </cell>
          <cell r="AN273">
            <v>43192</v>
          </cell>
          <cell r="AS273" t="str">
            <v>Colonia Rinconada del Sol</v>
          </cell>
        </row>
        <row r="274">
          <cell r="B274" t="str">
            <v>Licitación Pública</v>
          </cell>
          <cell r="D274" t="str">
            <v>DOPI-MUN-CUSMAX-PAV-LP-258-2017</v>
          </cell>
          <cell r="T274" t="str">
            <v>OMAR</v>
          </cell>
          <cell r="U274" t="str">
            <v>MORA</v>
          </cell>
          <cell r="V274" t="str">
            <v>MONTES DE OCA</v>
          </cell>
          <cell r="X274" t="str">
            <v>DCO130215C16</v>
          </cell>
          <cell r="AD274">
            <v>43089</v>
          </cell>
          <cell r="AL274" t="str">
            <v>Construcción de crucero seguro en Av. Patria con Av. Puerta de Hierro - San Florencio -Paseo Royal Country, municipio de Zapopan, Jalisco.</v>
          </cell>
          <cell r="AM274">
            <v>43089</v>
          </cell>
          <cell r="AN274">
            <v>43176</v>
          </cell>
          <cell r="AS274" t="str">
            <v>Colonia San Bernardo</v>
          </cell>
        </row>
        <row r="275">
          <cell r="B275" t="str">
            <v>Licitación Pública</v>
          </cell>
          <cell r="D275" t="str">
            <v>DOPI-MUN-RM-PAV-LP-259-2017</v>
          </cell>
          <cell r="T275" t="str">
            <v>ALEX</v>
          </cell>
          <cell r="U275" t="str">
            <v>MEDINA</v>
          </cell>
          <cell r="V275" t="str">
            <v>GÓMEZ</v>
          </cell>
          <cell r="X275" t="str">
            <v>MCO150527NY3</v>
          </cell>
          <cell r="AD275">
            <v>43089</v>
          </cell>
          <cell r="AL275" t="str">
            <v>Pavimentación de vialidad Eva Briseño, incluye: guarniciones, banquetas, red de agua potable y alcantarillado y servicios complementarios, en la colonia Santa Fe, municipio de Zapopan, Jalisco. Frente 1.</v>
          </cell>
          <cell r="AM275">
            <v>43089</v>
          </cell>
          <cell r="AN275">
            <v>43222</v>
          </cell>
          <cell r="AS275" t="str">
            <v>Colonia Guadalajarita</v>
          </cell>
        </row>
        <row r="276">
          <cell r="B276" t="str">
            <v>Licitación Pública</v>
          </cell>
          <cell r="D276" t="str">
            <v>DOPI-MUN-RM-PAV-LP-260-2017</v>
          </cell>
          <cell r="T276" t="str">
            <v>ARTURO</v>
          </cell>
          <cell r="U276" t="str">
            <v>SARMIENTO</v>
          </cell>
          <cell r="V276" t="str">
            <v>SÁNCHEZ</v>
          </cell>
          <cell r="X276" t="str">
            <v>CON020208696</v>
          </cell>
          <cell r="AD276">
            <v>43089</v>
          </cell>
          <cell r="AL276" t="str">
            <v>Pavimentación de vialidad Eva Briseño, incluye: guarniciones, banquetas, red de agua potable y alcantarillado y servicios complementarios, en la colonia Santa Fe, municipio de Zapopan, Jalisco. Frente 2.</v>
          </cell>
          <cell r="AM276">
            <v>43089</v>
          </cell>
          <cell r="AN276">
            <v>43253</v>
          </cell>
          <cell r="AS276" t="str">
            <v>Colonia Guadalajarita</v>
          </cell>
        </row>
        <row r="277">
          <cell r="B277" t="str">
            <v>Licitación Pública</v>
          </cell>
          <cell r="D277" t="str">
            <v>DOPI-MUN-RM-PAV-LP-261-2017</v>
          </cell>
          <cell r="T277" t="str">
            <v>CARLOS IGNACIO</v>
          </cell>
          <cell r="U277" t="str">
            <v>CURIEL</v>
          </cell>
          <cell r="V277" t="str">
            <v>DUEÑAS</v>
          </cell>
          <cell r="X277" t="str">
            <v>CCE130723IR7</v>
          </cell>
          <cell r="AD277">
            <v>43089</v>
          </cell>
          <cell r="AL277" t="str">
            <v>Pavimentación de vialidad Eva Briseño, incluye: guarniciones, banquetas, red de agua potable y alcantarillado y servicios complementarios, en la colonia Santa Fe, municipio de Zapopan, Jalisco. Frente 3.</v>
          </cell>
          <cell r="AM277">
            <v>43089</v>
          </cell>
          <cell r="AN277">
            <v>43253</v>
          </cell>
          <cell r="AS277" t="str">
            <v>Colonia Guadalajarita</v>
          </cell>
        </row>
        <row r="278">
          <cell r="B278" t="str">
            <v>Licitación Pública</v>
          </cell>
          <cell r="D278" t="str">
            <v>DOPI-MUN-RM-PAV-LP-262-2017</v>
          </cell>
          <cell r="T278" t="str">
            <v>HAYDEE LILIANA</v>
          </cell>
          <cell r="U278" t="str">
            <v>AGUILAR</v>
          </cell>
          <cell r="V278" t="str">
            <v>CASSIAN</v>
          </cell>
          <cell r="X278" t="str">
            <v>EDM970225I68</v>
          </cell>
          <cell r="AD278">
            <v>43089</v>
          </cell>
          <cell r="AL278" t="str">
            <v>Pavimentación de vialidad 5 de Mayo de Av. Aviación hacía camino Real a Zapopan, incluye: guarniciones, banquetas, red de agua potable y alcantarillado y servicios complementarios, en la colonia San Juan de Ocotán, municipio de Zapopan, Jalisco. Frente 1.</v>
          </cell>
          <cell r="AM278">
            <v>43089</v>
          </cell>
          <cell r="AN278">
            <v>43253</v>
          </cell>
          <cell r="AS278" t="str">
            <v>Colonia San Juan de Ocotán</v>
          </cell>
        </row>
        <row r="279">
          <cell r="B279" t="str">
            <v>Licitación por Invitación Restringida</v>
          </cell>
          <cell r="D279" t="str">
            <v>DOPI-MUN-RM-BAN-CI-267-2017</v>
          </cell>
          <cell r="T279" t="str">
            <v xml:space="preserve">GUILLERMO </v>
          </cell>
          <cell r="U279" t="str">
            <v>RODRÍGUEZ</v>
          </cell>
          <cell r="V279" t="str">
            <v>MEZA</v>
          </cell>
          <cell r="X279" t="str">
            <v>CAJ1208151M8</v>
          </cell>
          <cell r="AD279">
            <v>43056</v>
          </cell>
          <cell r="AL279" t="str">
            <v>Peatonalización en la Colonia Loma Bonita Residencial, incluye: machuelos, banquetas, accesibilidad, bolardos y nomenclatura, municipio de Zapopan, Jalisco.</v>
          </cell>
          <cell r="AM279">
            <v>43059</v>
          </cell>
          <cell r="AN279">
            <v>43148</v>
          </cell>
          <cell r="AS279" t="str">
            <v>Colonia Loma Bonita Residencial</v>
          </cell>
        </row>
        <row r="280">
          <cell r="B280" t="str">
            <v>Licitación por Invitación Restringida</v>
          </cell>
          <cell r="D280" t="str">
            <v>DOPI-MUN-RM-PAV-CI-268-2017</v>
          </cell>
          <cell r="T280" t="str">
            <v>JOEL</v>
          </cell>
          <cell r="U280" t="str">
            <v>ZULOAGA</v>
          </cell>
          <cell r="V280" t="str">
            <v>ACEVES</v>
          </cell>
          <cell r="X280" t="str">
            <v>TSC100210E48</v>
          </cell>
          <cell r="AD280">
            <v>43056</v>
          </cell>
          <cell r="AL280" t="str">
            <v>Construcción de pavimento de concreto hidráulico, banquetas, adecuaciones de la red sanitaria e hidráulica, en la Av. D, colonia El Tigre II, municipio de Zapopan, Jalisco, tramo 3.</v>
          </cell>
          <cell r="AM280">
            <v>43059</v>
          </cell>
          <cell r="AN280">
            <v>43105</v>
          </cell>
          <cell r="AS280" t="str">
            <v>Colonia El Tigre II</v>
          </cell>
        </row>
        <row r="281">
          <cell r="B281" t="str">
            <v>Licitación por Invitación Restringida</v>
          </cell>
          <cell r="D281" t="str">
            <v>DOPI-MUN-CUSMAX-BAN-CI-269-2017</v>
          </cell>
          <cell r="T281" t="str">
            <v>HÉCTOR MARIO</v>
          </cell>
          <cell r="U281" t="str">
            <v>GÓMEZ</v>
          </cell>
          <cell r="V281" t="str">
            <v>GALVARRIATO FREER</v>
          </cell>
          <cell r="X281" t="str">
            <v>EAP000106BW7</v>
          </cell>
          <cell r="AD281">
            <v>43056</v>
          </cell>
          <cell r="AL281" t="str">
            <v>Primera etapa de la peatonalización en la colonia Residencial Victoria (incluye: machuelos, banquetas, accesibilidad universal, bolardos y nomenclatura), municipio de Zapopan, Jalisco.</v>
          </cell>
          <cell r="AM281">
            <v>43059</v>
          </cell>
          <cell r="AN281">
            <v>43148</v>
          </cell>
          <cell r="AS281" t="str">
            <v>Colonia Residencial Victoria</v>
          </cell>
        </row>
        <row r="282">
          <cell r="B282" t="str">
            <v>Licitación por Invitación Restringida</v>
          </cell>
          <cell r="D282" t="str">
            <v>DOPI-MUN-PP-IU-CI-270-2017</v>
          </cell>
          <cell r="T282" t="str">
            <v>JORGE ALFREDO</v>
          </cell>
          <cell r="U282" t="str">
            <v>OCHOA</v>
          </cell>
          <cell r="V282" t="str">
            <v>GONZÁLEZ</v>
          </cell>
          <cell r="X282" t="str">
            <v>AED890925181</v>
          </cell>
          <cell r="AD282">
            <v>43056</v>
          </cell>
          <cell r="AL282" t="str">
            <v>Rehabilitación del área infantil del Parque Villa Fantasía, municipio de Zapopan, Jalisco. Primera Etapa.</v>
          </cell>
          <cell r="AM282">
            <v>43059</v>
          </cell>
          <cell r="AN282">
            <v>43148</v>
          </cell>
          <cell r="AS282" t="str">
            <v>Colonia Tepeyac</v>
          </cell>
        </row>
        <row r="283">
          <cell r="B283" t="str">
            <v>Licitación por Invitación Restringida</v>
          </cell>
          <cell r="D283" t="str">
            <v>DOPI-MUN-CUSMAX-PAV-CI-271-2017</v>
          </cell>
          <cell r="T283" t="str">
            <v>VICTOR</v>
          </cell>
          <cell r="U283" t="str">
            <v>ZAYAS</v>
          </cell>
          <cell r="V283" t="str">
            <v>RIQUELME</v>
          </cell>
          <cell r="X283" t="str">
            <v>GIC810323RA6</v>
          </cell>
          <cell r="AD283">
            <v>43056</v>
          </cell>
          <cell r="AL283" t="str">
            <v>Construcción de Puente Vehicular Colonia La Higuera, municipio de Zapopan, Jalisco.</v>
          </cell>
          <cell r="AM283">
            <v>43059</v>
          </cell>
          <cell r="AN283">
            <v>43148</v>
          </cell>
          <cell r="AS283" t="str">
            <v>Colonia La Higuera</v>
          </cell>
        </row>
        <row r="284">
          <cell r="B284" t="str">
            <v>Licitación por Invitación Restringida</v>
          </cell>
          <cell r="D284" t="str">
            <v>DOPI-MUN-CUSMAX-PAV-CI-272-2017</v>
          </cell>
          <cell r="T284" t="str">
            <v>JOSÉ OMAR</v>
          </cell>
          <cell r="U284" t="str">
            <v>FERNÁNDEZ</v>
          </cell>
          <cell r="V284" t="str">
            <v>VÁZQUEZ</v>
          </cell>
          <cell r="X284" t="str">
            <v>FEVO740619686</v>
          </cell>
          <cell r="AD284">
            <v>43056</v>
          </cell>
          <cell r="AL284" t="str">
            <v>Construcción de crucero seguro en Av. Acueducto y Av. Real Acueducto, municipio de Zapopan, Jalisco.</v>
          </cell>
          <cell r="AM284">
            <v>43059</v>
          </cell>
          <cell r="AN284">
            <v>43178</v>
          </cell>
          <cell r="AS284" t="str">
            <v>Zona Andares</v>
          </cell>
        </row>
        <row r="285">
          <cell r="B285" t="str">
            <v>Licitación por Invitación Restringida</v>
          </cell>
          <cell r="D285" t="str">
            <v>DOPI-MUN-PP-ID-CI-284-2017</v>
          </cell>
          <cell r="T285" t="str">
            <v>MARÍA ARCELIA</v>
          </cell>
          <cell r="U285" t="str">
            <v>IÑIGUEZ</v>
          </cell>
          <cell r="V285" t="str">
            <v>HERNÁNDEZ</v>
          </cell>
          <cell r="X285" t="str">
            <v>IRH140924LX3</v>
          </cell>
          <cell r="AD285">
            <v>43082</v>
          </cell>
          <cell r="AL285" t="str">
            <v>Rehabilitación de las instalaciones y equipamiento deportivo de la Unidad Deportiva Santa Margarita (La Tuzania), ubicada en Av. Periférico Norponiente, municipio de Zapopan, Jalisco.</v>
          </cell>
          <cell r="AM285">
            <v>43082</v>
          </cell>
          <cell r="AN285">
            <v>43171</v>
          </cell>
          <cell r="AS285" t="str">
            <v>Colonia Santa Margarita</v>
          </cell>
        </row>
        <row r="286">
          <cell r="B286" t="str">
            <v>Licitación por Invitación Restringida</v>
          </cell>
          <cell r="D286" t="str">
            <v>DOPI-MUN-RM-RS-CI-285-2017</v>
          </cell>
          <cell r="T286" t="str">
            <v>HÉCTOR</v>
          </cell>
          <cell r="U286" t="str">
            <v>GAYTAN</v>
          </cell>
          <cell r="V286" t="str">
            <v>GALICIA</v>
          </cell>
          <cell r="X286" t="str">
            <v>SCS1301173MA</v>
          </cell>
          <cell r="AD286">
            <v>43082</v>
          </cell>
          <cell r="AL286" t="str">
            <v xml:space="preserve">Construcción de obras de protección pluvial, muros de mampostería, colector pluvial, caseta de control de acceso, oficinas, sanitarios, comedor, área de estacionamiento, segunda fase de equipamiento y obras complementarias en el relleno sanitario Picachos, municipio de Zapopan, Jalisco. </v>
          </cell>
          <cell r="AM286">
            <v>43082</v>
          </cell>
          <cell r="AN286">
            <v>43201</v>
          </cell>
          <cell r="AS286" t="str">
            <v>Relleno Sanitario de Picachos</v>
          </cell>
        </row>
        <row r="287">
          <cell r="B287" t="str">
            <v>Licitación por Invitación Restringida</v>
          </cell>
          <cell r="D287" t="str">
            <v>DOPI-MUN-RM-PAV-CI-286-2017</v>
          </cell>
          <cell r="T287" t="str">
            <v xml:space="preserve">GUILLERMO </v>
          </cell>
          <cell r="U287" t="str">
            <v>SANDOVAL</v>
          </cell>
          <cell r="V287" t="str">
            <v>ALONSO</v>
          </cell>
          <cell r="X287" t="str">
            <v>CRC091106EUA</v>
          </cell>
          <cell r="AD287">
            <v>43082</v>
          </cell>
          <cell r="AL287" t="str">
            <v>Obra complementaria para la pavimentación con concreto hidráulico, incluye: agua potable, alcantarillado, guarniciones, banquetas, accesibilidad y servicios complementarios de la calle Laureles en la colonia Lomas de Tabachines, municipio de Zapopan, Jalisco, segunda etapa.</v>
          </cell>
          <cell r="AM287">
            <v>43082</v>
          </cell>
          <cell r="AN287">
            <v>43141</v>
          </cell>
          <cell r="AS287" t="str">
            <v>Colonia Lomas de Tabachines</v>
          </cell>
        </row>
        <row r="288">
          <cell r="B288" t="str">
            <v>Licitación por Invitación Restringida</v>
          </cell>
          <cell r="D288" t="str">
            <v>DOPI-MUN-RM-PAV-CI-287-2017</v>
          </cell>
          <cell r="T288" t="str">
            <v>MARTÍN ALEJANDRO</v>
          </cell>
          <cell r="U288" t="str">
            <v>DIEZ MARINA</v>
          </cell>
          <cell r="V288" t="str">
            <v>INZUNZA</v>
          </cell>
          <cell r="X288" t="str">
            <v>UNI1201115M6</v>
          </cell>
          <cell r="AD288">
            <v>43082</v>
          </cell>
          <cell r="AL288" t="str">
            <v>Pavimentación con concreto hidráulico de privada Atotonilco, de Av. Aviación al ingreso al fraccionamiento Misión del Valle, incluye: Agua potable, drenaje sanitario, guarniciones, banquetas y alumbrado público, colonia Nuevo México, municipio de Zapopan, Jalisco.</v>
          </cell>
          <cell r="AM288">
            <v>43082</v>
          </cell>
          <cell r="AN288">
            <v>43201</v>
          </cell>
          <cell r="AS288" t="str">
            <v>Colonia Nuevo México</v>
          </cell>
        </row>
        <row r="289">
          <cell r="B289" t="str">
            <v>Licitación por Invitación Restringida</v>
          </cell>
          <cell r="D289" t="str">
            <v>DOPI-MUN-RM-PAV-CI-288-2017</v>
          </cell>
          <cell r="T289" t="str">
            <v>AMALIA</v>
          </cell>
          <cell r="U289" t="str">
            <v>MORENO</v>
          </cell>
          <cell r="V289" t="str">
            <v>MALDONADO</v>
          </cell>
          <cell r="X289" t="str">
            <v>GCM020226F28</v>
          </cell>
          <cell r="AD289">
            <v>43082</v>
          </cell>
          <cell r="AL289" t="str">
            <v>Pavimentación con concreto hidráulico de la calle Morelos, de calle Leona Vicario a calle Zaragoza, incluye: Agua potable, drenaje sanitario, guarniciones, banquetas y alumbrado público, en la localidad de Nextipac, municipio de Zapopan, Jalisco.</v>
          </cell>
          <cell r="AM289">
            <v>43082</v>
          </cell>
          <cell r="AN289">
            <v>43201</v>
          </cell>
          <cell r="AS289" t="str">
            <v>Localidad de Nextipac</v>
          </cell>
        </row>
        <row r="290">
          <cell r="B290" t="str">
            <v>Licitación por Invitación Restringida</v>
          </cell>
          <cell r="D290" t="str">
            <v>DOPI-MUN-RM-PAV-CI-290-2017</v>
          </cell>
          <cell r="T290" t="str">
            <v>JESÚS DAVID</v>
          </cell>
          <cell r="U290" t="str">
            <v xml:space="preserve">GARZA </v>
          </cell>
          <cell r="V290" t="str">
            <v>GARCÍA</v>
          </cell>
          <cell r="X290" t="str">
            <v>CEA010615GT0</v>
          </cell>
          <cell r="AD290">
            <v>43082</v>
          </cell>
          <cell r="AL290" t="str">
            <v>Pavimentación con concreto hidráulico de calle Venustiano Carranza, de calle 2 a Av. Copalita, incluye: Agua potable, drenaje sanitario, guarniciones, banquetas  y alumbrado público, en la colonia Vicente Guerrero, municipio de Zapopan, Jalisco.</v>
          </cell>
          <cell r="AM290">
            <v>43082</v>
          </cell>
          <cell r="AN290">
            <v>43186</v>
          </cell>
          <cell r="AS290" t="str">
            <v>Colonia Vicente Guerrero</v>
          </cell>
        </row>
        <row r="291">
          <cell r="B291" t="str">
            <v>Licitación por Invitación Restringida</v>
          </cell>
          <cell r="D291" t="str">
            <v>DOPI-MUN-RM-PAV-CI-291-2017</v>
          </cell>
          <cell r="T291" t="str">
            <v>JOSÉ</v>
          </cell>
          <cell r="U291" t="str">
            <v xml:space="preserve">GUILLEN </v>
          </cell>
          <cell r="V291" t="str">
            <v xml:space="preserve">DÍAZ  </v>
          </cell>
          <cell r="X291" t="str">
            <v>SPC050127BR0</v>
          </cell>
          <cell r="AD291">
            <v>43082</v>
          </cell>
          <cell r="AL291" t="str">
            <v>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1, municipio de Zapopan, Jalisco.</v>
          </cell>
          <cell r="AM291">
            <v>43082</v>
          </cell>
          <cell r="AN291">
            <v>43201</v>
          </cell>
          <cell r="AS291" t="str">
            <v>Colonias La Tuzania Ejidal,  Tuzania, La Casita, Las Bóvedas y Santa Margarita Residencial</v>
          </cell>
        </row>
        <row r="292">
          <cell r="B292" t="str">
            <v>Licitación por Invitación Restringida</v>
          </cell>
          <cell r="D292" t="str">
            <v>DOPI-MUN-RM-PAV-CI-292-2017</v>
          </cell>
          <cell r="T292" t="str">
            <v>JOSÉ DE JESÚS</v>
          </cell>
          <cell r="U292" t="str">
            <v xml:space="preserve">CASTILLO </v>
          </cell>
          <cell r="V292" t="str">
            <v>CARRILLO</v>
          </cell>
          <cell r="X292" t="str">
            <v>MOP080610I53</v>
          </cell>
          <cell r="AD292">
            <v>43082</v>
          </cell>
          <cell r="AL292" t="str">
            <v>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2, municipio de Zapopan, Jalisco.</v>
          </cell>
          <cell r="AM292">
            <v>43082</v>
          </cell>
          <cell r="AN292">
            <v>43201</v>
          </cell>
          <cell r="AS292" t="str">
            <v>Colonias La Tuzania Ejidal,  Tuzania, La Casita, Las Bóvedas y Santa Margarita Residencial</v>
          </cell>
        </row>
        <row r="293">
          <cell r="B293" t="str">
            <v>Licitación por Invitación Restringida</v>
          </cell>
          <cell r="D293" t="str">
            <v>DOPI-MUN-RM-PAV-CI-293-2017</v>
          </cell>
          <cell r="T293" t="str">
            <v>JUAN PABLO</v>
          </cell>
          <cell r="U293" t="str">
            <v>VERA</v>
          </cell>
          <cell r="V293" t="str">
            <v>TAVARES</v>
          </cell>
          <cell r="X293" t="str">
            <v>LCO080228DN2</v>
          </cell>
          <cell r="AD293">
            <v>43082</v>
          </cell>
          <cell r="AL293" t="str">
            <v>Pavimentación con concreto hidráulico de la calle Las Garzas, de carretera Colotlán a calle Pavoreal, incluye: Agua potable, drenaje sanitario, guarniciones, banquetas y alumbrado público, en la vinatera, municipio de Zapopan, Jalisco.</v>
          </cell>
          <cell r="AM293">
            <v>43082</v>
          </cell>
          <cell r="AN293">
            <v>43201</v>
          </cell>
          <cell r="AS293" t="str">
            <v>Colonia La Vinatera</v>
          </cell>
        </row>
        <row r="294">
          <cell r="B294" t="str">
            <v>Licitación por Invitación Restringida</v>
          </cell>
          <cell r="D294" t="str">
            <v>DOPI-MUN-RM-ID-CI-294-2017</v>
          </cell>
          <cell r="T294" t="str">
            <v>CARLOS ALBERTO</v>
          </cell>
          <cell r="U294" t="str">
            <v>VILLASEÑOR</v>
          </cell>
          <cell r="V294" t="str">
            <v>NÚÑEZ</v>
          </cell>
          <cell r="X294" t="str">
            <v>MME011214IV5</v>
          </cell>
          <cell r="AD294">
            <v>43082</v>
          </cell>
          <cell r="AL294" t="str">
            <v>Rehabilitación de la Unidad Deportiva Paseos de Sol, Frente 1 (rehabilitación de canchas de béisbol, gradas, rehabilitación de baños vestidores,  colocación de back stop), en la colonia Paseos del Sol, municipio de Zapopan, Jalisco.</v>
          </cell>
          <cell r="AM294">
            <v>43082</v>
          </cell>
          <cell r="AN294">
            <v>43186</v>
          </cell>
          <cell r="AS294" t="str">
            <v>Colonia Paseos del Sol</v>
          </cell>
        </row>
        <row r="295">
          <cell r="B295" t="str">
            <v>Licitación por Invitación Restringida</v>
          </cell>
          <cell r="D295" t="str">
            <v>DOPI-MUN-RM-ID-CI-295-2017</v>
          </cell>
          <cell r="T295" t="str">
            <v>RICARDO</v>
          </cell>
          <cell r="U295" t="str">
            <v>HARO</v>
          </cell>
          <cell r="V295" t="str">
            <v>BUGARIN</v>
          </cell>
          <cell r="X295" t="str">
            <v>CED030514T47</v>
          </cell>
          <cell r="AD295">
            <v>43088</v>
          </cell>
          <cell r="AL295" t="str">
            <v>Rehabilitación de la Unidad Deportiva Paseos de Sol, Frente 2 (cancha de usos múltiples, juegos infantiles, alumbrado y cercado perimetral), en la colonia Paseos del Sol, municipio de Zapopan, Jalisco.</v>
          </cell>
          <cell r="AM295">
            <v>43088</v>
          </cell>
          <cell r="AN295">
            <v>43192</v>
          </cell>
          <cell r="AS295" t="str">
            <v>Colonia Paseos del Sol</v>
          </cell>
        </row>
        <row r="296">
          <cell r="B296" t="str">
            <v>Licitación por Invitación Restringida</v>
          </cell>
          <cell r="D296" t="str">
            <v>DOPI-MUN-RM-BAN-CI-296-2017</v>
          </cell>
          <cell r="T296" t="str">
            <v>IRMA NOEMI</v>
          </cell>
          <cell r="U296" t="str">
            <v>HERNÁNDEZ</v>
          </cell>
          <cell r="V296" t="str">
            <v>ESPINOZA</v>
          </cell>
          <cell r="X296" t="str">
            <v>ASU140117G73</v>
          </cell>
          <cell r="AD296">
            <v>43082</v>
          </cell>
          <cell r="AL296" t="str">
            <v>Peatonalización en varias colonias y vialidades del municipio (Incluye: machuelos, banquetas, accesibilidad universal y bolardos). Primera Etapa, municipio de Zapopan, Jalisco.</v>
          </cell>
          <cell r="AM296">
            <v>43082</v>
          </cell>
          <cell r="AN296">
            <v>43231</v>
          </cell>
        </row>
        <row r="297">
          <cell r="B297" t="str">
            <v>Licitación por Invitación Restringida</v>
          </cell>
          <cell r="D297" t="str">
            <v>DOPI-MUN-R33-IS-CI-297-2017</v>
          </cell>
          <cell r="T297" t="str">
            <v>OMAR</v>
          </cell>
          <cell r="U297" t="str">
            <v>TORRES</v>
          </cell>
          <cell r="V297" t="str">
            <v>RAMOS</v>
          </cell>
          <cell r="X297" t="str">
            <v>GCO070524GT1</v>
          </cell>
          <cell r="AD297">
            <v>43082</v>
          </cell>
          <cell r="AL297" t="str">
            <v>Construcción de red de drenaje y red de agua potable de calles de la colonia Lomas del Centinela II, segunda etapa, municipio de Zapopan, Jalisco.</v>
          </cell>
          <cell r="AM297">
            <v>43082</v>
          </cell>
          <cell r="AN297">
            <v>43100</v>
          </cell>
          <cell r="AS297" t="str">
            <v>Colonia Lomas del Centinela II</v>
          </cell>
        </row>
        <row r="298">
          <cell r="B298" t="str">
            <v>Licitación por Invitación Restringida</v>
          </cell>
          <cell r="D298" t="str">
            <v>DOPI-MUN-R33-IS-CI-298-2017</v>
          </cell>
          <cell r="T298" t="str">
            <v>DAVID</v>
          </cell>
          <cell r="U298" t="str">
            <v>HERNÁNDEZ</v>
          </cell>
          <cell r="V298" t="str">
            <v>ESQUIVEL</v>
          </cell>
          <cell r="X298" t="str">
            <v>AEB000705CS2</v>
          </cell>
          <cell r="AD298">
            <v>43082</v>
          </cell>
          <cell r="AL298" t="str">
            <v>Construcción de colector y complemento de servicios básicos en la colonia La Magdalena, primera etapa, municipio de Zapopan, Jalisco.</v>
          </cell>
          <cell r="AM298">
            <v>43082</v>
          </cell>
          <cell r="AN298">
            <v>43100</v>
          </cell>
          <cell r="AS298" t="str">
            <v>Colonia La Magdalena</v>
          </cell>
        </row>
        <row r="299">
          <cell r="B299" t="str">
            <v>Licitación por Invitación Restringida</v>
          </cell>
          <cell r="D299" t="str">
            <v>DOPI-MUN-CUSMAX-PAV-CI-299-2017</v>
          </cell>
          <cell r="T299" t="str">
            <v>GUSTAVO</v>
          </cell>
          <cell r="U299" t="str">
            <v>DURAN</v>
          </cell>
          <cell r="V299" t="str">
            <v>JIMÉNEZ</v>
          </cell>
          <cell r="X299" t="str">
            <v>DJA9405184G7</v>
          </cell>
          <cell r="AD299">
            <v>43082</v>
          </cell>
          <cell r="AL299" t="str">
            <v>Construcción de Parque Lineal en la Av. Patria, de Av. Acueducto - Eva Briseño-Av. Américas, tercera etapa: cruceros seguros, accesibilidades y semaforización, municipio de Zapopan, Jalisco.</v>
          </cell>
          <cell r="AM299">
            <v>43082</v>
          </cell>
          <cell r="AN299">
            <v>43186</v>
          </cell>
          <cell r="AS299" t="str">
            <v>Zona Andares</v>
          </cell>
        </row>
        <row r="300">
          <cell r="B300" t="str">
            <v>Licitación por Invitación Restringida</v>
          </cell>
          <cell r="D300" t="str">
            <v>DOPI-MUN-CUSMAX-PAV-CI-300-2017</v>
          </cell>
          <cell r="T300" t="str">
            <v>JOSÉ DE JESÚS</v>
          </cell>
          <cell r="U300" t="str">
            <v>ROMERO</v>
          </cell>
          <cell r="V300" t="str">
            <v>GARCÍA</v>
          </cell>
          <cell r="X300" t="str">
            <v>URC160310857</v>
          </cell>
          <cell r="AD300">
            <v>43082</v>
          </cell>
          <cell r="AL300" t="str">
            <v>Construcción de crucero seguro en Av. Acueducto y Av. Puerta de Hierro, municipio de Zapopan, Jalisco.</v>
          </cell>
          <cell r="AM300">
            <v>43082</v>
          </cell>
          <cell r="AN300">
            <v>43186</v>
          </cell>
          <cell r="AS300" t="str">
            <v>Colonia Puertade Hierro</v>
          </cell>
        </row>
        <row r="301">
          <cell r="B301" t="str">
            <v>Licitación por Invitación Restringida</v>
          </cell>
          <cell r="D301" t="str">
            <v>DOPI-MUN-CUSMAX-IE-CI-301-2017</v>
          </cell>
          <cell r="T301" t="str">
            <v xml:space="preserve">RODOLFO </v>
          </cell>
          <cell r="U301" t="str">
            <v xml:space="preserve">PLASCHINSKI </v>
          </cell>
          <cell r="V301" t="str">
            <v>VÁZQUEZ</v>
          </cell>
          <cell r="X301" t="str">
            <v>CGE0101209V0</v>
          </cell>
          <cell r="AD301">
            <v>43088</v>
          </cell>
          <cell r="AL301" t="str">
            <v>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v>
          </cell>
          <cell r="AM301">
            <v>43088</v>
          </cell>
          <cell r="AN301">
            <v>43177</v>
          </cell>
          <cell r="AS301" t="str">
            <v>Colonia Residencial Moctezuma Poniente</v>
          </cell>
        </row>
        <row r="302">
          <cell r="B302" t="str">
            <v>Licitación por Invitación Restringida</v>
          </cell>
          <cell r="D302" t="str">
            <v>DOPI-MUN-CUSMAX-ID-CI-302-2017</v>
          </cell>
          <cell r="T302" t="str">
            <v>MARÍA ARCELIA</v>
          </cell>
          <cell r="U302" t="str">
            <v>IÑIGUEZ</v>
          </cell>
          <cell r="V302" t="str">
            <v>HERNÁNDEZ</v>
          </cell>
          <cell r="X302" t="str">
            <v>COP1209104M8</v>
          </cell>
          <cell r="AD302">
            <v>43082</v>
          </cell>
          <cell r="AL302" t="str">
            <v>Construcción de Unidad Deportiva Arenales Tapatíos 2da Sección (Alcances: Cancha de Futbol 7 con pasto sintético, módulo de baños, cercado perimetral, andador, juegos infantiles, alumbrado público, banquetas y accesibilidad), primera etapa, municipio de Zapopan, Jalisco.</v>
          </cell>
          <cell r="AM302">
            <v>43082</v>
          </cell>
          <cell r="AN302">
            <v>43201</v>
          </cell>
          <cell r="AS302" t="str">
            <v>Colonia Arenales Tapatios</v>
          </cell>
        </row>
        <row r="303">
          <cell r="B303" t="str">
            <v>Invitación a Cuando Menos Tres Personas</v>
          </cell>
          <cell r="D303" t="str">
            <v>DOPI-FED-EP-EP-CI-303-2017</v>
          </cell>
          <cell r="T303" t="str">
            <v>ERNESTO</v>
          </cell>
          <cell r="U303" t="str">
            <v>OLIVARES</v>
          </cell>
          <cell r="V303" t="str">
            <v>ÁLVAREZ</v>
          </cell>
          <cell r="X303" t="str">
            <v>SMJ090317FS9</v>
          </cell>
          <cell r="AD303">
            <v>43082</v>
          </cell>
          <cell r="AL303" t="str">
            <v>Mejoramiento físico de espacios públicos, Parque Aurelio Ortega, municipio de Zapopan, Jalisco.</v>
          </cell>
          <cell r="AM303">
            <v>43082</v>
          </cell>
          <cell r="AN303">
            <v>43100</v>
          </cell>
          <cell r="AS303" t="str">
            <v>Aurelio Ortega</v>
          </cell>
        </row>
        <row r="304">
          <cell r="B304" t="str">
            <v>Licitación por Invitación Restringida</v>
          </cell>
          <cell r="D304" t="str">
            <v>DOPI-MUN-RM-PAV-CI-304-2017</v>
          </cell>
          <cell r="T304" t="str">
            <v>PATRICIA LORENA</v>
          </cell>
          <cell r="U304" t="str">
            <v xml:space="preserve">GARCÍA </v>
          </cell>
          <cell r="V304" t="str">
            <v>MEZA</v>
          </cell>
          <cell r="X304" t="str">
            <v>AOP140117KA2</v>
          </cell>
          <cell r="AD304">
            <v>43133</v>
          </cell>
          <cell r="AL304" t="str">
            <v>Pavimentación de Av. Copalita, de calle Venustiano Carranza a Av. San Cristóbal Magallanes, incluye: banquetas y señalética horizontal, en la colonia Vicente Guerrero, municipio de Zapopan, Jalisco.</v>
          </cell>
          <cell r="AM304">
            <v>43133</v>
          </cell>
          <cell r="AN304">
            <v>43282</v>
          </cell>
          <cell r="AS304" t="str">
            <v>Colonia Vicente Guerrero</v>
          </cell>
        </row>
        <row r="305">
          <cell r="B305" t="str">
            <v>Licitación por Invitación Restringida</v>
          </cell>
          <cell r="D305" t="str">
            <v>DOPI-MUN-PP-EP-CI-305-2017</v>
          </cell>
          <cell r="T305" t="str">
            <v>JESÚS</v>
          </cell>
          <cell r="U305" t="str">
            <v>ARENAS</v>
          </cell>
          <cell r="V305" t="str">
            <v>BRAVO</v>
          </cell>
          <cell r="X305" t="str">
            <v>SIC940317FH7</v>
          </cell>
          <cell r="AD305">
            <v>43088</v>
          </cell>
          <cell r="AL305" t="str">
            <v>Construcción de Parque para Adultos Mayores en la Colonia La Calma, municipio de Zapopan, Jalisco.</v>
          </cell>
          <cell r="AM305">
            <v>43088</v>
          </cell>
          <cell r="AN305">
            <v>43174</v>
          </cell>
          <cell r="AS305" t="str">
            <v>Colonia La Calma</v>
          </cell>
        </row>
        <row r="306">
          <cell r="B306" t="str">
            <v>Licitación por Invitación Restringida</v>
          </cell>
          <cell r="D306" t="str">
            <v>DOPI-MUN-RM-EP-CI-306-2017</v>
          </cell>
          <cell r="T306" t="str">
            <v>JUAN CARLOS</v>
          </cell>
          <cell r="U306" t="str">
            <v>SUAZO</v>
          </cell>
          <cell r="V306" t="str">
            <v>HERNÁNDEZ</v>
          </cell>
          <cell r="X306" t="str">
            <v>CCO1304181PA</v>
          </cell>
          <cell r="AD306">
            <v>43088</v>
          </cell>
          <cell r="AL306" t="str">
            <v>Parque incluyente en Colonia Gustavo Diaz Ordaz, Primera Etapa, municipio de Zapopan, Jalisco.</v>
          </cell>
          <cell r="AM306">
            <v>43088</v>
          </cell>
          <cell r="AN306">
            <v>43174</v>
          </cell>
          <cell r="AS306" t="str">
            <v>Colonia Gustavo Diaz Ordaz</v>
          </cell>
        </row>
        <row r="307">
          <cell r="B307" t="str">
            <v>Licitación por Invitación Restringida</v>
          </cell>
          <cell r="D307" t="str">
            <v>DOPI-MUN-CUSMAX-EP-CI-307-2017</v>
          </cell>
          <cell r="T307" t="str">
            <v>HÉCTOR RUBÉN</v>
          </cell>
          <cell r="U307" t="str">
            <v>PÉREZ</v>
          </cell>
          <cell r="V307" t="str">
            <v>VARGAS</v>
          </cell>
          <cell r="X307" t="str">
            <v>DCO140606CT5</v>
          </cell>
          <cell r="AD307">
            <v>43088</v>
          </cell>
          <cell r="AL307" t="str">
            <v>Rehabilitación de espacio recreativo, sustitución de losas dañadas y machuelos, cancha de futbol rápido, rehabilitación de jardineras, mobiliario urbano, forestación, accesibilidad e iluminación, colonia San Isidro Ejidal, municipio de Zapopan, Jalisco.</v>
          </cell>
          <cell r="AM307">
            <v>43088</v>
          </cell>
          <cell r="AN307">
            <v>43174</v>
          </cell>
          <cell r="AS307" t="str">
            <v>Colonia San Isidro Ejidal</v>
          </cell>
        </row>
        <row r="308">
          <cell r="B308" t="str">
            <v>Licitación por Invitación Restringida</v>
          </cell>
          <cell r="D308" t="str">
            <v>DOPI-MUN-CUSMAX-IE-CI-308-2017</v>
          </cell>
          <cell r="T308" t="str">
            <v xml:space="preserve">ISIDRO </v>
          </cell>
          <cell r="U308" t="str">
            <v xml:space="preserve"> ESPINOZA </v>
          </cell>
          <cell r="V308" t="str">
            <v xml:space="preserve"> PERALTA</v>
          </cell>
          <cell r="X308" t="str">
            <v>PES1105119J6</v>
          </cell>
          <cell r="AD308">
            <v>43088</v>
          </cell>
          <cell r="AL308" t="str">
            <v>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v>
          </cell>
          <cell r="AM308">
            <v>43088</v>
          </cell>
          <cell r="AN308">
            <v>43177</v>
          </cell>
          <cell r="AS308" t="str">
            <v>Colonia Unidad Estatuto Jurídico</v>
          </cell>
        </row>
        <row r="309">
          <cell r="B309" t="str">
            <v>Licitación por Invitación Restringida</v>
          </cell>
          <cell r="D309" t="str">
            <v>DOPI-MUN-CUSMAX-ID-CI-309-2017</v>
          </cell>
          <cell r="T309" t="str">
            <v>JOAQUIN</v>
          </cell>
          <cell r="U309" t="str">
            <v>RAMÍREZ</v>
          </cell>
          <cell r="V309" t="str">
            <v>GALLARDO</v>
          </cell>
          <cell r="X309" t="str">
            <v>AUR100826KX0</v>
          </cell>
          <cell r="AD309">
            <v>43088</v>
          </cell>
          <cell r="AL309" t="str">
            <v>Construcción de la Unidad Deportiva Santa Lucia (Alcances: cancha de futbol 7, gimnasio al aire libre, área de juegos y cercado perimetral, primera etapa, municipio de Zapopan, Jalisco.</v>
          </cell>
          <cell r="AM309">
            <v>43088</v>
          </cell>
          <cell r="AN309">
            <v>43177</v>
          </cell>
          <cell r="AS309" t="str">
            <v>Colonia Santa Lucia</v>
          </cell>
        </row>
        <row r="310">
          <cell r="B310" t="str">
            <v>Licitación por Invitación Restringida</v>
          </cell>
          <cell r="D310" t="str">
            <v>DOPI-MUN-CUSMAX-EP-CI-310-2017</v>
          </cell>
          <cell r="T310" t="str">
            <v xml:space="preserve">EDUARDO </v>
          </cell>
          <cell r="U310" t="str">
            <v>CRUZ</v>
          </cell>
          <cell r="V310" t="str">
            <v>MOGUEL</v>
          </cell>
          <cell r="X310" t="str">
            <v>BAL990803661</v>
          </cell>
          <cell r="AD310">
            <v>43088</v>
          </cell>
          <cell r="AL310" t="str">
            <v>Construcción del parque incluyente en Carretera a Tesistán (La Loma), primera etapa, municipio de Zapopan, Jalisco.</v>
          </cell>
          <cell r="AM310">
            <v>43088</v>
          </cell>
          <cell r="AN310">
            <v>43177</v>
          </cell>
          <cell r="AS310" t="str">
            <v>Colonia La Loma</v>
          </cell>
        </row>
        <row r="311">
          <cell r="B311" t="str">
            <v>Licitación por Invitación Restringida</v>
          </cell>
          <cell r="D311" t="str">
            <v>DOPI-MUN-CUSMAX-EP-CI-311-2017</v>
          </cell>
          <cell r="T311" t="str">
            <v>ALEJANDRO</v>
          </cell>
          <cell r="U311" t="str">
            <v>GUEVARA</v>
          </cell>
          <cell r="V311" t="str">
            <v>CASTELLANOS</v>
          </cell>
          <cell r="X311" t="str">
            <v>UCA0207107X6</v>
          </cell>
          <cell r="AD311">
            <v>43088</v>
          </cell>
          <cell r="AL311" t="str">
            <v>Construcción de terraza para usos múltiples, rehabilitación de alumbrado público, banquetas y accesibilidad en Parque la Calma, municipio de Zapopan, Jalisco.</v>
          </cell>
          <cell r="AM311">
            <v>43088</v>
          </cell>
          <cell r="AN311">
            <v>43177</v>
          </cell>
          <cell r="AS311" t="str">
            <v>Colonia La Calma</v>
          </cell>
        </row>
        <row r="312">
          <cell r="B312" t="str">
            <v>Licitación por Invitación Restringida</v>
          </cell>
          <cell r="D312" t="str">
            <v>DOPI-MUN-CUSMAX-EP-CI-312-2017</v>
          </cell>
          <cell r="T312" t="str">
            <v>LUIS REYNALDO</v>
          </cell>
          <cell r="U312" t="str">
            <v xml:space="preserve">GALVÁN </v>
          </cell>
          <cell r="V312" t="str">
            <v>BERMEJO</v>
          </cell>
          <cell r="X312" t="str">
            <v>GAC051206TQ3</v>
          </cell>
          <cell r="AD312">
            <v>43088</v>
          </cell>
          <cell r="AL312" t="str">
            <v>Rehabilitación y Equipamiento del Parque infantil ubicado en la calle Idolina Gaona de Cosío y Octava Oriente, en la colonia Jardines de Nuevo México, municipio de Zapopan, Jalisco.</v>
          </cell>
          <cell r="AM312">
            <v>43088</v>
          </cell>
          <cell r="AN312">
            <v>43177</v>
          </cell>
          <cell r="AS312" t="str">
            <v>Colonia Jarfdínes de Nuevo México</v>
          </cell>
        </row>
        <row r="313">
          <cell r="B313" t="str">
            <v>Licitación por Invitación Restringida</v>
          </cell>
          <cell r="D313" t="str">
            <v>DOPI-MUN-CUSMAX-ID-CI-313-2017</v>
          </cell>
          <cell r="T313" t="str">
            <v>ADALBERTO</v>
          </cell>
          <cell r="U313" t="str">
            <v>MEDINA</v>
          </cell>
          <cell r="V313" t="str">
            <v>MORALES</v>
          </cell>
          <cell r="X313" t="str">
            <v>URD130830U21</v>
          </cell>
          <cell r="AD313">
            <v>43088</v>
          </cell>
          <cell r="AL313" t="str">
            <v>Construcción de la Unidad Deportiva en el fraccionamiento Valle de Los Molinos, primera etapa, municipio de Zapopan, Jalisco.</v>
          </cell>
          <cell r="AM313">
            <v>43088</v>
          </cell>
          <cell r="AN313">
            <v>43177</v>
          </cell>
          <cell r="AS313" t="str">
            <v>Colonia Valle de los Molinos</v>
          </cell>
        </row>
        <row r="314">
          <cell r="B314" t="str">
            <v>Licitación por Invitación Restringida</v>
          </cell>
          <cell r="D314" t="str">
            <v>DOPI-MUN-CUSMAX-IE-CI-314-2017</v>
          </cell>
          <cell r="T314" t="str">
            <v xml:space="preserve">ARTURO </v>
          </cell>
          <cell r="U314" t="str">
            <v>DISTANCIA</v>
          </cell>
          <cell r="V314" t="str">
            <v>SÁNCHEZ</v>
          </cell>
          <cell r="X314" t="str">
            <v>JCO160413SK4</v>
          </cell>
          <cell r="AD314">
            <v>43088</v>
          </cell>
          <cell r="AL314" t="str">
            <v>Rehabilitación de Infraestructura en la Escuela C.A.M. Sabino Cruz López (Rehabilitación de patio cívico, rehabilitación de juegos, reparación de techo, pintura en exterior, impermeabilización, banquetas y accesibilidad), colonia el Vigía, municipio de Zapopan, Jalisco.</v>
          </cell>
          <cell r="AM314">
            <v>43088</v>
          </cell>
          <cell r="AN314">
            <v>43177</v>
          </cell>
          <cell r="AS314" t="str">
            <v>Colonia El Vigia</v>
          </cell>
        </row>
        <row r="315">
          <cell r="B315" t="str">
            <v>Licitación por Invitación Restringida</v>
          </cell>
          <cell r="D315" t="str">
            <v>DOPI-MUN-CUSMAX-EP-CI-315-2017</v>
          </cell>
          <cell r="T315" t="str">
            <v>JOSÉ DE JESÚS</v>
          </cell>
          <cell r="U315" t="str">
            <v>PALAFOX</v>
          </cell>
          <cell r="V315" t="str">
            <v>VILLEGAS</v>
          </cell>
          <cell r="X315" t="str">
            <v>MCO1510113H8</v>
          </cell>
          <cell r="AD315">
            <v>43088</v>
          </cell>
          <cell r="AL315" t="str">
            <v>Rehabilitación de espacio recreativa, juegos infantiles, gimnasio al aire libre, sustitución de losas dañadas, andadores, banquetas, accesibilidad y alumbrado, Lomas de Atemajac, municipio de Zapopan, Jalisco.</v>
          </cell>
          <cell r="AM315">
            <v>43088</v>
          </cell>
          <cell r="AN315">
            <v>43177</v>
          </cell>
          <cell r="AS315" t="str">
            <v>Colonia Lomas de Atemajac</v>
          </cell>
        </row>
        <row r="316">
          <cell r="B316" t="str">
            <v>Licitación por Invitación Restringida</v>
          </cell>
          <cell r="D316" t="str">
            <v>DOPI-MUN-CUSMAX-IE-CI-316-2017</v>
          </cell>
          <cell r="T316" t="str">
            <v>LORENA MARGARITA</v>
          </cell>
          <cell r="U316" t="str">
            <v>LIMÓN</v>
          </cell>
          <cell r="V316" t="str">
            <v>GONZÁLEZ</v>
          </cell>
          <cell r="X316" t="str">
            <v>ISI921126N34</v>
          </cell>
          <cell r="AD316">
            <v>43088</v>
          </cell>
          <cell r="AL316" t="str">
            <v>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v>
          </cell>
          <cell r="AM316">
            <v>43088</v>
          </cell>
          <cell r="AN316">
            <v>43177</v>
          </cell>
          <cell r="AS316" t="str">
            <v>Colonia Arboledas</v>
          </cell>
        </row>
        <row r="317">
          <cell r="B317" t="str">
            <v>Licitación por Invitación Restringida</v>
          </cell>
          <cell r="D317" t="str">
            <v>DOPI-MUN-CUSMAX-ID-CI-317-2017</v>
          </cell>
          <cell r="T317" t="str">
            <v>JOSÉ LUIS ROBERTO</v>
          </cell>
          <cell r="U317" t="str">
            <v>ULLOA</v>
          </cell>
          <cell r="V317" t="str">
            <v>LEAÑO</v>
          </cell>
          <cell r="X317" t="str">
            <v>EEP070913PY4</v>
          </cell>
          <cell r="AD317">
            <v>43088</v>
          </cell>
          <cell r="AL317" t="str">
            <v>Rehabilitación de la Unidad Deportiva Santa Ana Tepetitlán, (Alcances: construcción de cancha de futbol soccer de pasto sintético), primera etapa, municipio de Zapopan, Jalisco.</v>
          </cell>
          <cell r="AM317">
            <v>43088</v>
          </cell>
          <cell r="AN317">
            <v>43177</v>
          </cell>
          <cell r="AS317" t="str">
            <v>Colonia Santa Ana Tepetitlán</v>
          </cell>
        </row>
        <row r="318">
          <cell r="B318" t="str">
            <v>Licitación por Invitación Restringida</v>
          </cell>
          <cell r="D318" t="str">
            <v>DOPI-MUN-RM-IM-CI-320-2017</v>
          </cell>
          <cell r="T318" t="str">
            <v>MARÍA DE LOURDES</v>
          </cell>
          <cell r="U318" t="str">
            <v>PARRA</v>
          </cell>
          <cell r="V318" t="str">
            <v>PRECIADO</v>
          </cell>
          <cell r="X318" t="str">
            <v>CCA121113SY9</v>
          </cell>
          <cell r="AD318">
            <v>43088</v>
          </cell>
          <cell r="AL318" t="str">
            <v>Construcción siete locales comerciales en la localidad de La Venta del Astillero y rehabilitación de bodegas y casa ejidal en la localidad de Santa Lucia, municipio de Zapopan, Jalisco.</v>
          </cell>
          <cell r="AM318">
            <v>43088</v>
          </cell>
          <cell r="AN318">
            <v>43207</v>
          </cell>
          <cell r="AS318" t="str">
            <v>Localidad Santa Lucia</v>
          </cell>
        </row>
        <row r="319">
          <cell r="B319" t="str">
            <v>Licitación por Invitación Restringida</v>
          </cell>
          <cell r="D319" t="str">
            <v>DOPI-MUN-PP-IS-CI-321-2017</v>
          </cell>
          <cell r="T319" t="str">
            <v>JOSÉ GABRIEL</v>
          </cell>
          <cell r="U319" t="str">
            <v xml:space="preserve"> GALLO </v>
          </cell>
          <cell r="V319" t="str">
            <v>GONZÁLEZ</v>
          </cell>
          <cell r="X319" t="str">
            <v>DEI071106LKA</v>
          </cell>
          <cell r="AD319">
            <v>43133</v>
          </cell>
          <cell r="AL319" t="str">
            <v>Construcción de alberca para rehabilitación de niños con fibrosis muscular (recurso municipal), municipio de Zapopan, Jalisco.</v>
          </cell>
          <cell r="AM319">
            <v>43133</v>
          </cell>
          <cell r="AN319">
            <v>43282</v>
          </cell>
        </row>
        <row r="320">
          <cell r="B320" t="str">
            <v>Licitación Pública</v>
          </cell>
          <cell r="D320" t="str">
            <v>DOPI-MUN-RM-ID-LP-022-2018</v>
          </cell>
          <cell r="T320" t="str">
            <v>JOSÉ ANTONIO</v>
          </cell>
          <cell r="U320" t="str">
            <v>CISNEROS</v>
          </cell>
          <cell r="V320" t="str">
            <v>CASTILLO</v>
          </cell>
          <cell r="X320" t="str">
            <v>APE111122MI0</v>
          </cell>
          <cell r="AD320">
            <v>43245</v>
          </cell>
          <cell r="AL320" t="str">
            <v>Rehabilitación de la Unidad Deportiva Pádel, primera etapa (rehabilitación de 4 canchas de pádel, rehabilitación de salón de usos múltiples, rehabilitación de cancha de usos múltiples, aparatos de gimnasio al aire libre, ingreso principal, rehabilitación de baños, juegos Infantiles), municipio de Zapopan, Jalisco.</v>
          </cell>
          <cell r="AM320">
            <v>43245</v>
          </cell>
          <cell r="AN320">
            <v>43334</v>
          </cell>
          <cell r="AS320" t="str">
            <v>Colonia Arcos de Guadalupe</v>
          </cell>
        </row>
        <row r="321">
          <cell r="B321" t="str">
            <v>Licitación Pública</v>
          </cell>
          <cell r="D321" t="str">
            <v>DOPI-MUN-RM-ID-LP-023-2018</v>
          </cell>
          <cell r="T321" t="str">
            <v xml:space="preserve">EDUARDO </v>
          </cell>
          <cell r="U321" t="str">
            <v>MERCADO</v>
          </cell>
          <cell r="V321" t="str">
            <v>VÁZQUEZ</v>
          </cell>
          <cell r="X321" t="str">
            <v>ANI1102217W2</v>
          </cell>
          <cell r="AD321">
            <v>43245</v>
          </cell>
          <cell r="AL321" t="str">
            <v>Rehabilitación de la Unidad Deportiva Moctezuma Residencial, primera etapa (pista de trote, rehabilitación de cancha de usos múltiples, rehabilitación de cancha de futbol, alumbrado, andadores, ingreso principal y cercado perimetral), municipio de Zapopan, Jalisco.</v>
          </cell>
          <cell r="AM321">
            <v>43245</v>
          </cell>
          <cell r="AN321">
            <v>43334</v>
          </cell>
          <cell r="AS321" t="str">
            <v>Colonia Moctezuma Residencial</v>
          </cell>
        </row>
        <row r="322">
          <cell r="B322" t="str">
            <v>Licitación Pública</v>
          </cell>
          <cell r="D322" t="str">
            <v>DOPI-MUN-RM-PAV-LP-024-2018</v>
          </cell>
          <cell r="T322" t="str">
            <v>JESÚS DAVID</v>
          </cell>
          <cell r="U322" t="str">
            <v xml:space="preserve">GARZA </v>
          </cell>
          <cell r="V322" t="str">
            <v>GARCÍA</v>
          </cell>
          <cell r="X322" t="str">
            <v>CEA010615GT0</v>
          </cell>
          <cell r="AD322">
            <v>43245</v>
          </cell>
          <cell r="AL322" t="str">
            <v>Pavimentación con concreto hidráulico de la Av. Romanos segunda etapa, incluye agua potable, drenaje, guarniciones, banquetas, servicios complementarios y señalética, en la colonia Altamira, municipio de Zapopan, Jalisco.</v>
          </cell>
          <cell r="AM322">
            <v>43245</v>
          </cell>
          <cell r="AN322">
            <v>43344</v>
          </cell>
          <cell r="AS322" t="str">
            <v>Colonia Altamira</v>
          </cell>
        </row>
        <row r="324">
          <cell r="B324" t="str">
            <v>Licitación Pública</v>
          </cell>
          <cell r="D324" t="str">
            <v>DOPI-MUN-RM-IH-LP-026-2018</v>
          </cell>
          <cell r="T324" t="str">
            <v>PAOLA ALEJANDRA</v>
          </cell>
          <cell r="U324" t="str">
            <v>DIAZ</v>
          </cell>
          <cell r="V324" t="str">
            <v>RUIZ</v>
          </cell>
          <cell r="X324" t="str">
            <v>OCA080707FG8</v>
          </cell>
          <cell r="AD324">
            <v>43245</v>
          </cell>
          <cell r="AL324" t="str">
            <v>Construcción de solución pluvial en la salida del fraccionamiento Bugambilias, sobre la Av. López Mateos Sur, municipio de Zapopan, Jalisco.</v>
          </cell>
          <cell r="AM324">
            <v>43245</v>
          </cell>
          <cell r="AN324">
            <v>43334</v>
          </cell>
          <cell r="AS324" t="str">
            <v>Colonia Bugambilias</v>
          </cell>
        </row>
        <row r="325">
          <cell r="B325" t="str">
            <v>Licitación Pública</v>
          </cell>
          <cell r="D325" t="str">
            <v>DOPI-MUN-RM-PAV-LP-027-2018</v>
          </cell>
          <cell r="T325" t="str">
            <v>ERICK</v>
          </cell>
          <cell r="U325" t="str">
            <v>VILLASEÑOR</v>
          </cell>
          <cell r="V325" t="str">
            <v>GUTIÉRREZ</v>
          </cell>
          <cell r="X325" t="str">
            <v>PCO140829425</v>
          </cell>
          <cell r="AD325">
            <v>43245</v>
          </cell>
          <cell r="AL325" t="str">
            <v>Pavimentación con concreto hidráulico de calle Ignacio Zaragoza, de calle Vicente Guerrero a calle Justo Sierra, incluye agua potable, drenaje, guarniciones, banquetas, alumbrado y señalética, en la colonia Agua Blanca Industrial, Municipio de Zapopan, Jalisco, segunda etapa.</v>
          </cell>
          <cell r="AM325">
            <v>43245</v>
          </cell>
          <cell r="AN325">
            <v>43319</v>
          </cell>
          <cell r="AS325" t="str">
            <v>Colonia Agua Blanca Industrial</v>
          </cell>
        </row>
        <row r="326">
          <cell r="B326" t="str">
            <v>Licitación Pública</v>
          </cell>
          <cell r="D326" t="str">
            <v>DOPI-MUN-RM-PAV-LP-028-2018</v>
          </cell>
          <cell r="T326" t="str">
            <v>SERGIO CESAR</v>
          </cell>
          <cell r="U326" t="str">
            <v>DÍAZ</v>
          </cell>
          <cell r="V326" t="str">
            <v>QUIROZ</v>
          </cell>
          <cell r="X326" t="str">
            <v>GUM111201IA5</v>
          </cell>
          <cell r="AD326">
            <v>43245</v>
          </cell>
          <cell r="AL326" t="str">
            <v>Pavimentación con concreto hidráulico de calle Francisco I. Madero, de calle Vicente Guerrero a calle Justo Sierra, incluye agua potable, drenaje, guarniciones, banquetas, alumbrado y señalética, en la colonia Agua Blanca Industrial, Municipio de Zapopan, Jalisco, primera etapa.</v>
          </cell>
          <cell r="AM326">
            <v>43245</v>
          </cell>
          <cell r="AN326">
            <v>43319</v>
          </cell>
          <cell r="AS326" t="str">
            <v>Colonia Agua Blanca Industrial</v>
          </cell>
        </row>
        <row r="327">
          <cell r="B327" t="str">
            <v>Licitación Pública</v>
          </cell>
          <cell r="D327" t="str">
            <v>DOPI-MUN-R33-ELE-LP-029-2018</v>
          </cell>
          <cell r="T327" t="str">
            <v>DARIO</v>
          </cell>
          <cell r="U327" t="str">
            <v>HURTADO</v>
          </cell>
          <cell r="V327" t="str">
            <v>SERRANO</v>
          </cell>
          <cell r="X327" t="str">
            <v>EID120425SQ2</v>
          </cell>
          <cell r="AD327">
            <v>43245</v>
          </cell>
          <cell r="AL327" t="str">
            <v>Complemento de electrificación y alumbrado público en la colonia Jardines del Vergel 1ra Sección, municipio de Zapopan, Jalisco.</v>
          </cell>
          <cell r="AM327">
            <v>43245</v>
          </cell>
          <cell r="AN327">
            <v>43334</v>
          </cell>
          <cell r="AS327" t="str">
            <v>Colonia Jardines del Vergen 1ra sección</v>
          </cell>
        </row>
        <row r="328">
          <cell r="B328" t="str">
            <v>Licitación Pública</v>
          </cell>
          <cell r="D328" t="str">
            <v>DOPI-MUN-R33-ELE-LP-030-2018</v>
          </cell>
          <cell r="T328" t="str">
            <v xml:space="preserve">JAVIER HIPÓLITO </v>
          </cell>
          <cell r="U328" t="str">
            <v xml:space="preserve">COVARRUBIAS </v>
          </cell>
          <cell r="V328" t="str">
            <v xml:space="preserve"> QUEZADA</v>
          </cell>
          <cell r="X328" t="str">
            <v>COQJ630927QF8</v>
          </cell>
          <cell r="AD328">
            <v>43245</v>
          </cell>
          <cell r="AL328" t="str">
            <v>Complemento de electrificación en la colonia Lomas de la Mesa Colorada, municipio de Zapopan, Jalisco.</v>
          </cell>
          <cell r="AM328">
            <v>43245</v>
          </cell>
          <cell r="AN328">
            <v>43334</v>
          </cell>
          <cell r="AS328" t="str">
            <v>Colonia Lomas de la Mesa Colorada</v>
          </cell>
        </row>
        <row r="329">
          <cell r="B329" t="str">
            <v>Licitación Pública</v>
          </cell>
          <cell r="D329" t="str">
            <v>DOPI-MUN-R33-ELE-LP-031-2018</v>
          </cell>
          <cell r="T329" t="str">
            <v>DARIO</v>
          </cell>
          <cell r="U329" t="str">
            <v>HURTADO</v>
          </cell>
          <cell r="V329" t="str">
            <v>SERRANO</v>
          </cell>
          <cell r="X329" t="str">
            <v>EID120425SQ2</v>
          </cell>
          <cell r="AD329">
            <v>43245</v>
          </cell>
          <cell r="AL329" t="str">
            <v>Red de electrificación y alumbrado público en la colonia Valle de Los Robles, municipio de Zapopan, Jalisco.</v>
          </cell>
          <cell r="AM329">
            <v>43245</v>
          </cell>
          <cell r="AN329">
            <v>43334</v>
          </cell>
          <cell r="AS329" t="str">
            <v>Colonia Valle de Los Robles</v>
          </cell>
        </row>
        <row r="330">
          <cell r="B330" t="str">
            <v>Licitación Pública</v>
          </cell>
          <cell r="D330" t="str">
            <v>DOPI-MUN-R33-ELE-LP-032-2018</v>
          </cell>
          <cell r="T330" t="str">
            <v>SERGIO</v>
          </cell>
          <cell r="U330" t="str">
            <v>RIOS</v>
          </cell>
          <cell r="V330" t="str">
            <v>CORONADO</v>
          </cell>
          <cell r="X330" t="str">
            <v>EGC030102TA7</v>
          </cell>
          <cell r="AD330">
            <v>43245</v>
          </cell>
          <cell r="AL330" t="str">
            <v>Electrificación y servicios complementarios en el Ejido Nuevo San Martín, municipio de Zapopan, Jalisco, frente 1.</v>
          </cell>
          <cell r="AM330">
            <v>43245</v>
          </cell>
          <cell r="AN330">
            <v>43334</v>
          </cell>
          <cell r="AS330" t="str">
            <v>Ejido Nuevo San Martín</v>
          </cell>
        </row>
        <row r="331">
          <cell r="B331" t="str">
            <v>Licitación Pública</v>
          </cell>
          <cell r="D331" t="str">
            <v>DOPI-MUN-R33-ELE-LP-033-2018</v>
          </cell>
          <cell r="T331" t="str">
            <v>MARÍA CAROLINA</v>
          </cell>
          <cell r="U331" t="str">
            <v>SERRANO</v>
          </cell>
          <cell r="V331" t="str">
            <v>CONTRERAS</v>
          </cell>
          <cell r="X331" t="str">
            <v>EOT171027QE9</v>
          </cell>
          <cell r="AD331">
            <v>43245</v>
          </cell>
          <cell r="AL331" t="str">
            <v>Electrificación y servicios complementarios en el Ejido Nuevo San Martín, municipio de Zapopan, Jalisco, frente 2.</v>
          </cell>
          <cell r="AM331">
            <v>43245</v>
          </cell>
          <cell r="AN331">
            <v>43334</v>
          </cell>
          <cell r="AS331" t="str">
            <v>Ejido Nuevo San Martín</v>
          </cell>
        </row>
        <row r="332">
          <cell r="B332" t="str">
            <v>Licitación Pública</v>
          </cell>
          <cell r="D332" t="str">
            <v>DOPI-MUN-R33-ELE-LP-034-2018</v>
          </cell>
          <cell r="T332" t="str">
            <v xml:space="preserve">JAVIER HIPÓLITO </v>
          </cell>
          <cell r="U332" t="str">
            <v xml:space="preserve">COVARRUBIAS </v>
          </cell>
          <cell r="V332" t="str">
            <v xml:space="preserve"> QUEZADA</v>
          </cell>
          <cell r="X332" t="str">
            <v>COQJ630927QF8</v>
          </cell>
          <cell r="AD332">
            <v>43245</v>
          </cell>
          <cell r="AL332" t="str">
            <v>Electrificación y servicios complementarios en el poblado San Miguel Tateposco, municipio de Zapopan, Jalisco.</v>
          </cell>
          <cell r="AM332">
            <v>43245</v>
          </cell>
          <cell r="AN332">
            <v>43334</v>
          </cell>
          <cell r="AS332" t="str">
            <v>Poblado San Miguel Tateposco</v>
          </cell>
        </row>
        <row r="333">
          <cell r="B333" t="str">
            <v>Licitación Pública</v>
          </cell>
          <cell r="D333" t="str">
            <v>DOPI-MUN-R33-APDS-LP-035-2018</v>
          </cell>
          <cell r="T333" t="str">
            <v>LAURA LILIA</v>
          </cell>
          <cell r="U333" t="str">
            <v>ARELLANO</v>
          </cell>
          <cell r="V333" t="str">
            <v>CERNA</v>
          </cell>
          <cell r="X333" t="str">
            <v>CEI120724PR2</v>
          </cell>
          <cell r="AD333">
            <v>43245</v>
          </cell>
          <cell r="AL333" t="str">
            <v>Construcción de línea de drenaje y agua potable en la colonia Mesa Colorada Poniente, frente 1, municipio de Zapopan, Jalisco.</v>
          </cell>
          <cell r="AM333">
            <v>43245</v>
          </cell>
          <cell r="AN333">
            <v>43334</v>
          </cell>
          <cell r="AS333" t="str">
            <v>Colonia Mesa Colorada Poniente</v>
          </cell>
        </row>
        <row r="334">
          <cell r="B334" t="str">
            <v>Licitación Pública</v>
          </cell>
          <cell r="D334" t="str">
            <v>DOPI-MUN-R33-APDS-LP-036-2018</v>
          </cell>
          <cell r="T334" t="str">
            <v>FELIPE DANIEL II</v>
          </cell>
          <cell r="U334" t="str">
            <v>NUÑEZ</v>
          </cell>
          <cell r="V334" t="str">
            <v>PINZON</v>
          </cell>
          <cell r="X334" t="str">
            <v>GNU120809KX1</v>
          </cell>
          <cell r="AD334">
            <v>43245</v>
          </cell>
          <cell r="AL334" t="str">
            <v>Construcción de línea de drenaje y agua potable en la colonia Mesa Colorada Poniente, frente 2, municipio de Zapopan, Jalisco.</v>
          </cell>
          <cell r="AM334">
            <v>43245</v>
          </cell>
          <cell r="AN334">
            <v>43319</v>
          </cell>
          <cell r="AS334" t="str">
            <v>Colonia Mesa Colorada Poniente</v>
          </cell>
        </row>
        <row r="335">
          <cell r="B335" t="str">
            <v>Licitación Pública</v>
          </cell>
          <cell r="D335" t="str">
            <v>DOPI-MUN-R33-APDS-LP-037-2018</v>
          </cell>
          <cell r="T335" t="str">
            <v>ERNESTO</v>
          </cell>
          <cell r="U335" t="str">
            <v>OLIVARES</v>
          </cell>
          <cell r="V335" t="str">
            <v>ÁLVAREZ</v>
          </cell>
          <cell r="X335" t="str">
            <v>MIN170819GG1</v>
          </cell>
          <cell r="AD335">
            <v>43245</v>
          </cell>
          <cell r="AL335" t="str">
            <v>Construcción de línea de drenaje y agua potable en la colonia Mesa Colorada Poniente, frente 3, municipio de Zapopan, Jalisco.</v>
          </cell>
          <cell r="AM335">
            <v>43245</v>
          </cell>
          <cell r="AN335">
            <v>43319</v>
          </cell>
          <cell r="AS335" t="str">
            <v>Colonia Mesa Colorada Poniente</v>
          </cell>
        </row>
        <row r="336">
          <cell r="B336" t="str">
            <v>Licitación Pública</v>
          </cell>
          <cell r="D336" t="str">
            <v>DOPI-MUN-R33-PAV-LP-038-2018</v>
          </cell>
          <cell r="T336" t="str">
            <v>JAVIER</v>
          </cell>
          <cell r="U336" t="str">
            <v>CAÑEDO</v>
          </cell>
          <cell r="V336" t="str">
            <v>ORTEGA</v>
          </cell>
          <cell r="X336" t="str">
            <v>CTO061116F61</v>
          </cell>
          <cell r="AD336">
            <v>43245</v>
          </cell>
          <cell r="AL336" t="str">
            <v>Pavimentación con concreto hidráulico en la colonia Fresno (calle Palmas de Eucalipto a cerrada, calle Eucalipto de Pirul a Encino y calle Encino de Eucalipto a Pino), municipio de Zapopan, Jalisco.</v>
          </cell>
          <cell r="AM336">
            <v>43245</v>
          </cell>
          <cell r="AN336">
            <v>43319</v>
          </cell>
          <cell r="AS336" t="str">
            <v>Colonia El Fresno</v>
          </cell>
        </row>
        <row r="337">
          <cell r="B337" t="str">
            <v>Licitación Pública</v>
          </cell>
          <cell r="D337" t="str">
            <v>DOPI-MUN-R33-APDS-LP-039-2018</v>
          </cell>
          <cell r="T337" t="str">
            <v>ERICK</v>
          </cell>
          <cell r="U337" t="str">
            <v>VILLASEÑOR</v>
          </cell>
          <cell r="V337" t="str">
            <v>GUTIÉRREZ</v>
          </cell>
          <cell r="X337" t="str">
            <v>PCO140829425</v>
          </cell>
          <cell r="AD337">
            <v>43245</v>
          </cell>
          <cell r="AL337" t="str">
            <v>Construcción de red de drenaje y agua potable en la colonia San José Ejidal, municipio de Zapopan, Jalisco.</v>
          </cell>
          <cell r="AM337">
            <v>43245</v>
          </cell>
          <cell r="AN337">
            <v>43319</v>
          </cell>
          <cell r="AS337" t="str">
            <v>Colonia San José Ejidal</v>
          </cell>
        </row>
        <row r="338">
          <cell r="B338" t="str">
            <v>Licitación Pública</v>
          </cell>
          <cell r="D338" t="str">
            <v>DOPI-FED-PR-PAV-LP-040-2018</v>
          </cell>
          <cell r="T338" t="str">
            <v>SERGIO CESAR</v>
          </cell>
          <cell r="U338" t="str">
            <v>DÍAZ</v>
          </cell>
          <cell r="V338" t="str">
            <v>QUIROZ</v>
          </cell>
          <cell r="X338" t="str">
            <v>TRA750528286</v>
          </cell>
          <cell r="AD338">
            <v>43245</v>
          </cell>
          <cell r="AL338" t="str">
            <v>Construcción de Avenida El Collí con concreto hidráulico entre la calle Roble y Las Torres, en la colonia Paraísos del Collí, municipio de Zapopan, Jalisco.</v>
          </cell>
          <cell r="AM338">
            <v>43245</v>
          </cell>
          <cell r="AN338">
            <v>43344</v>
          </cell>
          <cell r="AS338" t="str">
            <v>Colonia Paraisos del Colli</v>
          </cell>
        </row>
        <row r="339">
          <cell r="B339" t="str">
            <v>Licitación Pública</v>
          </cell>
          <cell r="D339" t="str">
            <v>DOPI-FED-PR-PAV-LP-041-2018</v>
          </cell>
          <cell r="T339" t="str">
            <v>JOSÉ ANTONIO</v>
          </cell>
          <cell r="U339" t="str">
            <v>CERECER</v>
          </cell>
          <cell r="V339" t="str">
            <v>RODRÍGUEZ</v>
          </cell>
          <cell r="X339" t="str">
            <v>GCR030911B99</v>
          </cell>
          <cell r="AD339">
            <v>43245</v>
          </cell>
          <cell r="AL339" t="str">
            <v>Construcción de Av. Palmira y Av. Las Torres con concreto hidráulico, entre la calle Jardín y Privada Bugambilias, en las colonias Los Cajetes y Palmira, municipio de Zapopan, Jalisco.</v>
          </cell>
          <cell r="AM339">
            <v>43245</v>
          </cell>
          <cell r="AN339">
            <v>43344</v>
          </cell>
          <cell r="AS339" t="str">
            <v>Colonias Los Cajetes y Palmira</v>
          </cell>
        </row>
        <row r="340">
          <cell r="B340" t="str">
            <v>Licitación Pública</v>
          </cell>
          <cell r="D340" t="str">
            <v>DOPI-FED-PR-PAV-LP-042-2018</v>
          </cell>
          <cell r="T340" t="str">
            <v>ROBERTO</v>
          </cell>
          <cell r="U340" t="str">
            <v>SILVA</v>
          </cell>
          <cell r="V340" t="str">
            <v>VARGAS</v>
          </cell>
          <cell r="X340" t="str">
            <v>WCO1701106T6</v>
          </cell>
          <cell r="AD340">
            <v>43245</v>
          </cell>
          <cell r="AL340" t="str">
            <v>Construcción de calle 16 de Septiembre con concreto hidráulico, entre la calle Ocampo y 5 de Mayo, en la colonia de San Juan de Ocotán, municipio de Zapopan, Jalisco.</v>
          </cell>
          <cell r="AM340">
            <v>43245</v>
          </cell>
          <cell r="AN340">
            <v>43344</v>
          </cell>
          <cell r="AS340" t="str">
            <v>Colonia San Juan de Ocotán</v>
          </cell>
        </row>
        <row r="341">
          <cell r="B341" t="str">
            <v>Licitación Pública</v>
          </cell>
          <cell r="D341" t="str">
            <v>DOPI-FED-PR-PAV-LP-043-2018</v>
          </cell>
          <cell r="T341" t="str">
            <v>SERGIO CESAR</v>
          </cell>
          <cell r="U341" t="str">
            <v>DÍAZ</v>
          </cell>
          <cell r="V341" t="str">
            <v>QUIROZ</v>
          </cell>
          <cell r="X341" t="str">
            <v>TRA750528286</v>
          </cell>
          <cell r="AD341">
            <v>43245</v>
          </cell>
          <cell r="AL341" t="str">
            <v>Construcción de la calle Arenales con concreto hidráulico entre la calle Oro y la calle Mica, en la colonia Arenales Tapatíos, municipio de Zapopan, Jalisco.</v>
          </cell>
          <cell r="AM341">
            <v>43245</v>
          </cell>
          <cell r="AN341">
            <v>43344</v>
          </cell>
          <cell r="AS341" t="str">
            <v>Colonia Arenales Tapatios</v>
          </cell>
        </row>
        <row r="342">
          <cell r="B342" t="str">
            <v>Licitación Pública</v>
          </cell>
          <cell r="D342" t="str">
            <v>DOPI-FED-PR-PAV-LP-044-2018</v>
          </cell>
          <cell r="T342" t="str">
            <v>J. GERARDO</v>
          </cell>
          <cell r="U342" t="str">
            <v>NICANOR</v>
          </cell>
          <cell r="V342" t="str">
            <v>MEJIA MARISCAL</v>
          </cell>
          <cell r="X342" t="str">
            <v>ICO980722MQ4</v>
          </cell>
          <cell r="AD342">
            <v>43245</v>
          </cell>
          <cell r="AL342" t="str">
            <v>Construcción de la calle Guadalupe Victoria con concreto hidráulico entre la calle Juárez y 15 de Septiembre, en la colonia Santa María del Pueblito, municipio de Zapopan, Jalisco.</v>
          </cell>
          <cell r="AM342">
            <v>43245</v>
          </cell>
          <cell r="AN342">
            <v>43344</v>
          </cell>
          <cell r="AS342" t="str">
            <v>Colonia Santa Maria del Pueblito</v>
          </cell>
        </row>
        <row r="343">
          <cell r="B343" t="str">
            <v>Licitación Pública</v>
          </cell>
          <cell r="D343" t="str">
            <v>DOPI-FED-PR-PAV-LP-045-2018</v>
          </cell>
          <cell r="T343" t="str">
            <v>JULIO EDUARDO</v>
          </cell>
          <cell r="U343" t="str">
            <v>LÓPEZ</v>
          </cell>
          <cell r="V343" t="str">
            <v>PÉREZ</v>
          </cell>
          <cell r="X343" t="str">
            <v>PEI020208RW0</v>
          </cell>
          <cell r="AD343">
            <v>43245</v>
          </cell>
          <cell r="AL343" t="str">
            <v>Construcción de calle López Cotilla con concreto hidráulico entre la calle Zaragoza y Avenida Vallarta, en la colonia Jocotán, municipio de Zapopan, Jalisco.</v>
          </cell>
          <cell r="AM343">
            <v>43245</v>
          </cell>
          <cell r="AN343">
            <v>43344</v>
          </cell>
          <cell r="AS343" t="str">
            <v>Colonia Jocotán</v>
          </cell>
        </row>
        <row r="344">
          <cell r="B344" t="str">
            <v>Licitación Pública</v>
          </cell>
          <cell r="D344" t="str">
            <v>DOPI-FED-PR-PAV-LP-046-2018</v>
          </cell>
          <cell r="T344" t="str">
            <v xml:space="preserve">ADRIANA ISABEL </v>
          </cell>
          <cell r="U344" t="str">
            <v xml:space="preserve">MONTAÑEZ </v>
          </cell>
          <cell r="V344" t="str">
            <v>ZAMORA</v>
          </cell>
          <cell r="X344" t="str">
            <v>GCT12060233A</v>
          </cell>
          <cell r="AD344">
            <v>43245</v>
          </cell>
          <cell r="AL344" t="str">
            <v>Construcción de la calle Puerto Manzanillo con concreto hidráulico entre la calle Puerto México y Prolongación Tepeyac, en la colonia Miramar, municipio de Zapopan, Jalisco.</v>
          </cell>
          <cell r="AM344">
            <v>43245</v>
          </cell>
          <cell r="AN344">
            <v>43344</v>
          </cell>
          <cell r="AS344" t="str">
            <v>Colonia Miramar</v>
          </cell>
        </row>
        <row r="345">
          <cell r="B345" t="str">
            <v>Licitación Pública</v>
          </cell>
          <cell r="D345" t="str">
            <v>DOPI-FED-PR-PAV-LP-047-2018</v>
          </cell>
          <cell r="T345" t="str">
            <v>MA. LUIZA</v>
          </cell>
          <cell r="U345" t="str">
            <v>MARTÍNEZ</v>
          </cell>
          <cell r="V345" t="str">
            <v>ALMARAZ</v>
          </cell>
          <cell r="X345" t="str">
            <v>JAS170622TX0</v>
          </cell>
          <cell r="AD345">
            <v>43245</v>
          </cell>
          <cell r="AL345" t="str">
            <v>Construcción de la calle Ramón Corona con concreto hidráulico entre la calle Manuel M. Diéguez y López Cotilla, en la colonia Jocotán, municipio de Zapopan, Jalisco.</v>
          </cell>
          <cell r="AM345">
            <v>43245</v>
          </cell>
          <cell r="AN345">
            <v>43344</v>
          </cell>
          <cell r="AS345" t="str">
            <v>Colonia Jocotán</v>
          </cell>
        </row>
        <row r="346">
          <cell r="B346" t="str">
            <v>Licitación Pública</v>
          </cell>
          <cell r="D346" t="str">
            <v>DOPI-FED-PR-PAV-LP-048-2018</v>
          </cell>
          <cell r="T346" t="str">
            <v>HAYDEE LILIANA</v>
          </cell>
          <cell r="U346" t="str">
            <v>AGUILAR</v>
          </cell>
          <cell r="V346" t="str">
            <v>CASSIAN</v>
          </cell>
          <cell r="X346" t="str">
            <v>EDM970225I68</v>
          </cell>
          <cell r="AD346">
            <v>43245</v>
          </cell>
          <cell r="AL346" t="str">
            <v>Construcción de calle Calzada Norte con empedrado tradicional y huellas de concreto hidráulico entre la calle Calzada Central y calle Calzada de Los Álamos, en la colonia Ciudad Granja, municipio de Zapopan, Jalisco.</v>
          </cell>
          <cell r="AM346">
            <v>43245</v>
          </cell>
          <cell r="AN346">
            <v>43344</v>
          </cell>
          <cell r="AS346" t="str">
            <v>Colonia Ciudad Granja</v>
          </cell>
        </row>
        <row r="347">
          <cell r="B347" t="str">
            <v>Licitación Pública</v>
          </cell>
          <cell r="D347" t="str">
            <v>DOPI-MUN-RM-ID-LP-049-2018</v>
          </cell>
          <cell r="T347" t="str">
            <v>OMAR</v>
          </cell>
          <cell r="U347" t="str">
            <v>MORA</v>
          </cell>
          <cell r="V347" t="str">
            <v>MONTES DE OCA</v>
          </cell>
          <cell r="X347" t="str">
            <v>DCO130215C16</v>
          </cell>
          <cell r="AD347">
            <v>43245</v>
          </cell>
          <cell r="AL347" t="str">
            <v>Rehabilitación de la Unidad Deportiva República, primera etapa (ingreso Principal, rehabilitación de dos canchas de usos múltiples, rehabilitación de gradas, alumbrado, rehabilitación de cancha de futbol, skatepark y cercado perimetral), municipio de Zapopan, Jalisco.</v>
          </cell>
          <cell r="AM347">
            <v>43245</v>
          </cell>
          <cell r="AN347">
            <v>43334</v>
          </cell>
          <cell r="AS347" t="str">
            <v>Colonia San Francisco</v>
          </cell>
        </row>
        <row r="348">
          <cell r="B348" t="str">
            <v>Concurso por Invitación</v>
          </cell>
          <cell r="D348" t="str">
            <v>DOPI-EST-FOCOCI-PAV-CI-050-2018</v>
          </cell>
          <cell r="T348" t="str">
            <v xml:space="preserve">EDUARDO </v>
          </cell>
          <cell r="U348" t="str">
            <v>CRUZ</v>
          </cell>
          <cell r="V348" t="str">
            <v>MOGUEL</v>
          </cell>
          <cell r="X348" t="str">
            <v>BAL990803661</v>
          </cell>
          <cell r="AD348">
            <v>43248</v>
          </cell>
          <cell r="AL348" t="str">
            <v>Pavimentación con concreto hidráulico en la Av. Palmira incluye: drenaje sanitario, agua potable, drenaje pluvial, banquetas, peatonalización, señalamiento y obras complementarias, en las colonias Palmira y Florida, en el municipio de Zapopan, Jalisco.</v>
          </cell>
          <cell r="AM348">
            <v>43248</v>
          </cell>
          <cell r="AN348">
            <v>43352</v>
          </cell>
          <cell r="AS348" t="str">
            <v>Colonias Palmira y Florida</v>
          </cell>
        </row>
        <row r="349">
          <cell r="B349" t="str">
            <v>Concurso por Invitación</v>
          </cell>
          <cell r="D349" t="str">
            <v>DOPI-EST-FOCOCI-IM-CI-051-2018</v>
          </cell>
          <cell r="T349" t="str">
            <v>JOSÉ ANTONIO</v>
          </cell>
          <cell r="U349" t="str">
            <v>CISNEROS</v>
          </cell>
          <cell r="V349" t="str">
            <v>CASTILLO</v>
          </cell>
          <cell r="X349" t="str">
            <v>APE111122MI0</v>
          </cell>
          <cell r="AD349">
            <v>43248</v>
          </cell>
          <cell r="AL349" t="str">
            <v>Construcción de Centro Comunitario San Juan de Ocotán, segunda etapa, en el municipio de Zapopan, Jalisco, frente 1.</v>
          </cell>
          <cell r="AM349">
            <v>43248</v>
          </cell>
          <cell r="AN349">
            <v>43347</v>
          </cell>
          <cell r="AS349" t="str">
            <v>Colonia San Juan de Ocotán</v>
          </cell>
        </row>
        <row r="350">
          <cell r="B350" t="str">
            <v>Concurso por Invitación</v>
          </cell>
          <cell r="D350" t="str">
            <v>DOPI-EST-FOCOCI-IM-CI-052-2018</v>
          </cell>
          <cell r="T350" t="str">
            <v>JUAN JOSÉ</v>
          </cell>
          <cell r="U350" t="str">
            <v>GUTIÉRREZ</v>
          </cell>
          <cell r="V350" t="str">
            <v>CONTRERAS</v>
          </cell>
          <cell r="X350" t="str">
            <v>RCO130920JX9</v>
          </cell>
          <cell r="AD350">
            <v>43248</v>
          </cell>
          <cell r="AL350" t="str">
            <v>Construcción de Centro Comunitario San Juan de Ocotán, segunda etapa, en el municipio de Zapopan, Jalisco, frente 2.</v>
          </cell>
          <cell r="AM350">
            <v>43248</v>
          </cell>
          <cell r="AN350">
            <v>43347</v>
          </cell>
          <cell r="AS350" t="str">
            <v>Colonia San Juan de Ocotán</v>
          </cell>
        </row>
        <row r="352">
          <cell r="B352" t="str">
            <v>Concurso por Invitación</v>
          </cell>
          <cell r="D352" t="str">
            <v>DOPI-EST-FOCOCI-PAV-CI-054-2018</v>
          </cell>
          <cell r="T352" t="str">
            <v>DAVID EDUARDO</v>
          </cell>
          <cell r="U352" t="str">
            <v>LARA</v>
          </cell>
          <cell r="V352" t="str">
            <v>OCHOA</v>
          </cell>
          <cell r="X352" t="str">
            <v>CIC080626ER2</v>
          </cell>
          <cell r="AD352">
            <v>43248</v>
          </cell>
          <cell r="AL352" t="str">
            <v>Reconstrucción del puente que cruza el arroyo La Culebra por la calle San Florencio, dentro del fraccionamiento Residencial Colomos Patria.</v>
          </cell>
          <cell r="AM352">
            <v>43248</v>
          </cell>
          <cell r="AN352">
            <v>43337</v>
          </cell>
          <cell r="AS352" t="str">
            <v>Fraccionamiento Residencial Colomos Patria</v>
          </cell>
        </row>
        <row r="353">
          <cell r="B353" t="str">
            <v>Concurso por Invitación</v>
          </cell>
          <cell r="D353" t="str">
            <v>DOPI-EST-FOCOCI-ID-CI-055-2018</v>
          </cell>
          <cell r="T353" t="str">
            <v>ERICK</v>
          </cell>
          <cell r="U353" t="str">
            <v>VILLASEÑOR</v>
          </cell>
          <cell r="V353" t="str">
            <v>GUTIÉRREZ</v>
          </cell>
          <cell r="X353" t="str">
            <v>PCO140829425</v>
          </cell>
          <cell r="AD353">
            <v>43248</v>
          </cell>
          <cell r="AL353" t="str">
            <v>Rehabilitación del parque unidad de manejo ambiental Villa Fantasía, en la colonia Tepeyac, Segunda etapa, frente 1.</v>
          </cell>
          <cell r="AM353">
            <v>43248</v>
          </cell>
          <cell r="AN353">
            <v>43354</v>
          </cell>
          <cell r="AS353" t="str">
            <v>Colonia Tepeyac</v>
          </cell>
        </row>
        <row r="354">
          <cell r="B354" t="str">
            <v>Concurso por Invitación</v>
          </cell>
          <cell r="D354" t="str">
            <v>DOPI-EST-FOCOCI-ID-CI-056-2018</v>
          </cell>
          <cell r="T354" t="str">
            <v>OMAR</v>
          </cell>
          <cell r="U354" t="str">
            <v>MORA</v>
          </cell>
          <cell r="V354" t="str">
            <v>MONTES DE OCA</v>
          </cell>
          <cell r="X354" t="str">
            <v>DCO130215C16</v>
          </cell>
          <cell r="AD354">
            <v>43248</v>
          </cell>
          <cell r="AL354" t="str">
            <v>Rehabilitación del parque unidad de manejo ambiental Villa Fantasía, en la colonia Tepeyac, Segunda etapa, frente 2.</v>
          </cell>
          <cell r="AM354">
            <v>43248</v>
          </cell>
          <cell r="AN354">
            <v>43354</v>
          </cell>
          <cell r="AS354" t="str">
            <v>Colonia Tepeyac</v>
          </cell>
        </row>
        <row r="355">
          <cell r="B355" t="str">
            <v>Concurso por Invitación</v>
          </cell>
          <cell r="D355" t="str">
            <v>DOPI-EST-FOCOCI-ID-CI-057-2018</v>
          </cell>
          <cell r="T355" t="str">
            <v>ERNESTO</v>
          </cell>
          <cell r="U355" t="str">
            <v>OLIVARES</v>
          </cell>
          <cell r="V355" t="str">
            <v>ÁLVAREZ</v>
          </cell>
          <cell r="X355" t="str">
            <v>MIN170819GG1</v>
          </cell>
          <cell r="AD355">
            <v>43248</v>
          </cell>
          <cell r="AL355" t="str">
            <v>Rehabilitación del parque unidad de manejo ambiental Villa Fantasía, en la colonia Tepeyac, Segunda etapa, frente 3.</v>
          </cell>
          <cell r="AM355">
            <v>43248</v>
          </cell>
          <cell r="AN355">
            <v>43354</v>
          </cell>
          <cell r="AS355" t="str">
            <v>Colonia Tepeyac</v>
          </cell>
        </row>
        <row r="356">
          <cell r="B356" t="str">
            <v>Licitación por Invitación Restringida</v>
          </cell>
          <cell r="D356" t="str">
            <v>DOPI-MUN-CUSMAX-IE-CI-058-2018</v>
          </cell>
          <cell r="T356" t="str">
            <v xml:space="preserve">FELIPE DE JESÚS </v>
          </cell>
          <cell r="U356" t="str">
            <v>DE LA CRUZ</v>
          </cell>
          <cell r="V356" t="str">
            <v>REYES</v>
          </cell>
          <cell r="X356" t="str">
            <v>MCO1005204Z5</v>
          </cell>
          <cell r="AD356">
            <v>43248</v>
          </cell>
          <cell r="AL356" t="str">
            <v>Estructura con lonaria y rehabilitación de Infraestructura en la Escuela C.A.M. 16 Niños Héroes (pintura en exterior, reparación de banquetas y barandales en patio cívico, impermeabilización), colonia Mariano Otero, municipio de Zapopan, Jalisco.</v>
          </cell>
          <cell r="AM356">
            <v>43248</v>
          </cell>
          <cell r="AN356">
            <v>43337</v>
          </cell>
          <cell r="AS356" t="str">
            <v>Colonia Mariano Otero</v>
          </cell>
        </row>
        <row r="357">
          <cell r="B357" t="str">
            <v>Licitación por Invitación Restringida</v>
          </cell>
          <cell r="D357" t="str">
            <v>DOPI-MUN-RM-IE-CI-059-2018</v>
          </cell>
          <cell r="T357" t="str">
            <v xml:space="preserve"> MARTHA </v>
          </cell>
          <cell r="U357" t="str">
            <v>JIMÉNEZ</v>
          </cell>
          <cell r="V357" t="str">
            <v>LÓPEZ</v>
          </cell>
          <cell r="X357" t="str">
            <v>IBO090918ET9</v>
          </cell>
          <cell r="AD357">
            <v>43248</v>
          </cell>
          <cell r="AL357" t="str">
            <v>Estructura con lonaria en CDI No. 3 Irene Robledo (Laureles) y en el CDI No. 2 Pablo Casals y en el CDI No. 7 Tepeyac, municipio de Zapopan, Jalisco.</v>
          </cell>
          <cell r="AM357">
            <v>43248</v>
          </cell>
          <cell r="AN357">
            <v>43337</v>
          </cell>
          <cell r="AS357" t="str">
            <v>Colonias Laureles y Tepeyac</v>
          </cell>
        </row>
        <row r="358">
          <cell r="B358" t="str">
            <v>Licitación por Invitación Restringida</v>
          </cell>
          <cell r="D358" t="str">
            <v>DOPI-MUN-RM-IE-CI-060-2018</v>
          </cell>
          <cell r="T358" t="str">
            <v>JOSÉ DE JESÚS</v>
          </cell>
          <cell r="U358" t="str">
            <v>ROMERO</v>
          </cell>
          <cell r="V358" t="str">
            <v>GARCÍA</v>
          </cell>
          <cell r="X358" t="str">
            <v>ACK170710KI3</v>
          </cell>
          <cell r="AD358">
            <v>43248</v>
          </cell>
          <cell r="AL358" t="str">
            <v>Estructura con lonaria en CDI No. 10 Mercado del Mar y en el CDC Santa Ana Tepetitlán y en el CDC Santa Lucia, municipio de Zapopan, Jalisco.</v>
          </cell>
          <cell r="AM358">
            <v>43248</v>
          </cell>
          <cell r="AN358">
            <v>43337</v>
          </cell>
          <cell r="AS358" t="str">
            <v>Colonias El Vigia, Santa Ana Tepetitlán y Santa Lucia</v>
          </cell>
        </row>
        <row r="359">
          <cell r="B359" t="str">
            <v>Licitación por Invitación Restringida</v>
          </cell>
          <cell r="D359" t="str">
            <v>DOPI-MUN-RM-IM-CI-061-2018</v>
          </cell>
          <cell r="T359" t="str">
            <v>ALFREDO</v>
          </cell>
          <cell r="U359" t="str">
            <v>FLORES</v>
          </cell>
          <cell r="V359" t="str">
            <v>CHÁVEZ</v>
          </cell>
          <cell r="X359" t="str">
            <v>FOCA830904HT8</v>
          </cell>
          <cell r="AD359">
            <v>43248</v>
          </cell>
          <cell r="AL359" t="str">
            <v>Rehabilitación de planta baja de la Procuraduría de Protección a Niños, Niñas y Adolescentes, municipio de Zapopan, Jalisco.</v>
          </cell>
          <cell r="AM359">
            <v>43248</v>
          </cell>
          <cell r="AN359">
            <v>43337</v>
          </cell>
          <cell r="AS359" t="str">
            <v>Colonia Ladrón de Guevara</v>
          </cell>
        </row>
        <row r="360">
          <cell r="B360" t="str">
            <v>Licitación por Invitación Restringida</v>
          </cell>
          <cell r="D360" t="str">
            <v>DOPI-MUN-RM-ID-CI-063-2018</v>
          </cell>
          <cell r="T360" t="str">
            <v>MARÍA ARCELIA</v>
          </cell>
          <cell r="U360" t="str">
            <v>IÑIGUEZ</v>
          </cell>
          <cell r="V360" t="str">
            <v>HERNÁNDEZ</v>
          </cell>
          <cell r="X360" t="str">
            <v>COP1209104M8</v>
          </cell>
          <cell r="AD360">
            <v>43248</v>
          </cell>
          <cell r="AL360" t="str">
            <v>Rehabilitación de la Unidad Deportiva Casino Tepeyac, primera etapa(rehabilitación de cancha de usos múltiples, rehabilitación de cancha de tenis, alumbrado, modulo de baños, ingreso principal y cercado perimetral), municipio de Zapopan, Jalisco.</v>
          </cell>
          <cell r="AM360">
            <v>43248</v>
          </cell>
          <cell r="AN360">
            <v>43354</v>
          </cell>
          <cell r="AS360" t="str">
            <v>Colonia Tepeyac Casino</v>
          </cell>
        </row>
        <row r="361">
          <cell r="B361" t="str">
            <v>Licitación por Invitación Restringida</v>
          </cell>
          <cell r="D361" t="str">
            <v>DOPI-MUN-RM-IE-CI-064-2018</v>
          </cell>
          <cell r="T361" t="str">
            <v>ARTURO</v>
          </cell>
          <cell r="U361" t="str">
            <v>BOJORQUEZ</v>
          </cell>
          <cell r="V361" t="str">
            <v>RIZO</v>
          </cell>
          <cell r="X361" t="str">
            <v>ECL1301313F1</v>
          </cell>
          <cell r="AD361">
            <v>43262</v>
          </cell>
          <cell r="AL361" t="str">
            <v>Estructura con lonaria, rehabilitación de cancha de usos múltiples, peatonalización y obra complementaria en la Escuela Secundaria Francisco, Márquez, Calle Sayil, Colonia la Tuzanía, y en la en la Escuela Primaria Alfredo V. Bonifil, Calle Río Tomatlán, Colonia Loma Bonita Ejidal, Clave: 14EPR1115G. Clave: 14DES0079F, municipio de Zapopan, Jalisco.</v>
          </cell>
          <cell r="AM361">
            <v>43262</v>
          </cell>
          <cell r="AN361">
            <v>43351</v>
          </cell>
          <cell r="AS361" t="str">
            <v>Colonias La Tuzania y Loma Bonita Ejidal</v>
          </cell>
        </row>
        <row r="362">
          <cell r="B362" t="str">
            <v>Licitación por Invitación Restringida</v>
          </cell>
          <cell r="D362" t="str">
            <v>DOPI-MUN-RM-IE-CI-065-2018</v>
          </cell>
          <cell r="T362" t="str">
            <v>JESÚS</v>
          </cell>
          <cell r="U362" t="str">
            <v>ARENAS</v>
          </cell>
          <cell r="V362" t="str">
            <v>BRAVO</v>
          </cell>
          <cell r="X362" t="str">
            <v>SIC940317FH7</v>
          </cell>
          <cell r="AD362">
            <v>43248</v>
          </cell>
          <cell r="AL362" t="str">
            <v>Estructura con lonaria, rehabilitación de cancha de usos múltiples, peatonalización y obra complementaria en la Escuela Pedro Moreno, en la localidad de Tesistán, y en la Escuela República Mexicana, Urbana 1155, Av. San Antonio No., Colonia San José Ejidal, Clave: 14EPR0931J, municipio de Zapopan, Jalisco.</v>
          </cell>
          <cell r="AM362">
            <v>43248</v>
          </cell>
          <cell r="AN362">
            <v>43337</v>
          </cell>
          <cell r="AS362" t="str">
            <v>Localidad de Tesitán y Colonia San José Ejidal</v>
          </cell>
        </row>
        <row r="363">
          <cell r="B363" t="str">
            <v>Licitación por Invitación Restringida</v>
          </cell>
          <cell r="D363" t="str">
            <v>DOPI-MUN-RM-IE-CI-066-2018</v>
          </cell>
          <cell r="T363" t="str">
            <v>MIGUEL ÁNGEL</v>
          </cell>
          <cell r="U363" t="str">
            <v>ROMERO</v>
          </cell>
          <cell r="V363" t="str">
            <v>LUGO</v>
          </cell>
          <cell r="X363" t="str">
            <v>OCC940714PB0</v>
          </cell>
          <cell r="AD363">
            <v>43248</v>
          </cell>
          <cell r="AL363" t="str">
            <v>Estructura con lonaria, rehabilitación de cancha de usos múltiples, peatonalización y obra complementaria Escuela Lázaro Cárdenas del Río, Calle Lázaro Cárdenas, Colonia Ejido Copalita, Clave: 14DPR0456Y, y en el Preescolar Jardín de Niños Xuchitla, Calle 20 de Enero No. 22, Colonia Indígena de San Juan de Ocotán, Clave 14DJN1802G, municipio de Zapopan, Jalisco.</v>
          </cell>
          <cell r="AM363">
            <v>43248</v>
          </cell>
          <cell r="AN363">
            <v>43337</v>
          </cell>
          <cell r="AS363" t="str">
            <v>Ejido Copalita y San Juan de Ocotán</v>
          </cell>
        </row>
        <row r="364">
          <cell r="B364" t="str">
            <v>Licitación por Invitación Restringida</v>
          </cell>
          <cell r="D364" t="str">
            <v>DOPI-MUN-RM-IE-CI-067-2018</v>
          </cell>
          <cell r="T364" t="str">
            <v>JOSÉ OMAR</v>
          </cell>
          <cell r="U364" t="str">
            <v>FERNÁNDEZ</v>
          </cell>
          <cell r="V364" t="str">
            <v>VÁZQUEZ</v>
          </cell>
          <cell r="X364" t="str">
            <v>ECO0908115Z7</v>
          </cell>
          <cell r="AD364">
            <v>43248</v>
          </cell>
          <cell r="AL364" t="str">
            <v>Estructura con lonaria, rehabilitación de cancha de usos múltiples, peatonalización y obra complementaria en el Preescolar Jardín de Niños Juan de la Barrera, Av. Las Palmas, Colonia Héroes Nacionales, Clave: 14DJN1856K, y en el Preescolar Jardín de Niños Ovidio Decroly, Calle Rubén Darío, Colonia La Coronilla, Clave: 14DJN0430Z, municipio de Zapopan, Jalisco.</v>
          </cell>
          <cell r="AM364">
            <v>43248</v>
          </cell>
          <cell r="AN364">
            <v>43337</v>
          </cell>
          <cell r="AS364" t="str">
            <v>Colonias Héroes Nacionales y La Coronilla</v>
          </cell>
        </row>
        <row r="365">
          <cell r="B365" t="str">
            <v>Licitación por Invitación Restringida</v>
          </cell>
          <cell r="D365" t="str">
            <v>DOPI-MUN-RM-IE-CI-068-2018</v>
          </cell>
          <cell r="T365" t="str">
            <v>JOEL RICARDO</v>
          </cell>
          <cell r="U365" t="str">
            <v>RINCÓN</v>
          </cell>
          <cell r="V365" t="str">
            <v>SALIDO</v>
          </cell>
          <cell r="X365" t="str">
            <v>DIP1509086G7</v>
          </cell>
          <cell r="AD365">
            <v>43248</v>
          </cell>
          <cell r="AL365" t="str">
            <v>Estructura con lonaria, rehabilitación de cancha de usos múltiples, peatonalización y obra complementaria en la Escuela Nicolás Copérnico, Calle de Enero No. 135, Clave: 14EES0508F, y  en la Escuela Secundaria Mixta66, Calle Octava Oriente No. 421, Colonia Nuevo México, Clave: 14EES0067Z, municipio de Zapopan, Jalisco.</v>
          </cell>
          <cell r="AM365">
            <v>43248</v>
          </cell>
          <cell r="AN365">
            <v>43337</v>
          </cell>
          <cell r="AS365" t="str">
            <v>Colonia Nuevo México</v>
          </cell>
        </row>
        <row r="366">
          <cell r="B366" t="str">
            <v>Licitación por Invitación Restringida</v>
          </cell>
          <cell r="D366" t="str">
            <v>DOPI-MUN-RM-IE-CI-069-2018</v>
          </cell>
          <cell r="T366" t="str">
            <v>JOSÉ DE JESÚS</v>
          </cell>
          <cell r="U366" t="str">
            <v>MARQUEZ</v>
          </cell>
          <cell r="V366" t="str">
            <v>ÁVILA</v>
          </cell>
          <cell r="X366" t="str">
            <v>FUT1110275V9</v>
          </cell>
          <cell r="AD366">
            <v>43248</v>
          </cell>
          <cell r="AL366" t="str">
            <v>Estructura con lonaria, rehabilitación de cancha de usos múltiples, peatonalización y obra complementaria en la Escuela Primitivo Tolentino, Calle 5 de Mayo No. 35, Colonia El Briseño, Clave: 14EPR1300C, municipio de Zapopan, Jalisco.</v>
          </cell>
          <cell r="AM366">
            <v>43248</v>
          </cell>
          <cell r="AN366">
            <v>43337</v>
          </cell>
          <cell r="AS366" t="str">
            <v>Colonia El Briseño</v>
          </cell>
        </row>
        <row r="367">
          <cell r="B367" t="str">
            <v>Licitación por Invitación Restringida</v>
          </cell>
          <cell r="D367" t="str">
            <v>DOPI-MUN-R33-APDS-CI-070-2018</v>
          </cell>
          <cell r="T367" t="str">
            <v xml:space="preserve"> BERNARDO </v>
          </cell>
          <cell r="U367" t="str">
            <v xml:space="preserve">SAENZ </v>
          </cell>
          <cell r="V367" t="str">
            <v>BARBA</v>
          </cell>
          <cell r="X367" t="str">
            <v>GEM070112PX8</v>
          </cell>
          <cell r="AD367">
            <v>43248</v>
          </cell>
          <cell r="AL367" t="str">
            <v>Construcción de la tercera etapa de red de agua potable y drenaje en la colonia Lomas del Centinela II, municipio de Zapopan, Jalisco, frente 1.</v>
          </cell>
          <cell r="AM367">
            <v>43248</v>
          </cell>
          <cell r="AN367">
            <v>43352</v>
          </cell>
          <cell r="AS367" t="str">
            <v>Colonia Lomas del Centinela II</v>
          </cell>
        </row>
        <row r="368">
          <cell r="B368" t="str">
            <v>Licitación por Invitación Restringida</v>
          </cell>
          <cell r="D368" t="str">
            <v>DOPI-MUN-R33-APDS-CI-071-2018</v>
          </cell>
          <cell r="T368" t="str">
            <v>MARTÍN ALEJANDRO</v>
          </cell>
          <cell r="U368" t="str">
            <v>DIEZ MARINA</v>
          </cell>
          <cell r="V368" t="str">
            <v>INZUNZA</v>
          </cell>
          <cell r="X368" t="str">
            <v>UNI1201115M6</v>
          </cell>
          <cell r="AD368">
            <v>43248</v>
          </cell>
          <cell r="AL368" t="str">
            <v>Construcción de la tercera etapa de red de agua potable y drenaje en la colonia Lomas del Centinela II, municipio de Zapopan, Jalisco, frente 2.</v>
          </cell>
          <cell r="AM368">
            <v>43248</v>
          </cell>
          <cell r="AN368">
            <v>43352</v>
          </cell>
          <cell r="AS368" t="str">
            <v>Colonia Lomas del Centinela II</v>
          </cell>
        </row>
        <row r="369">
          <cell r="B369" t="str">
            <v>Licitación por Invitación Restringida</v>
          </cell>
          <cell r="D369" t="str">
            <v>DOPI-MUN-R33-PAV-CI-072-2018</v>
          </cell>
          <cell r="T369" t="str">
            <v>PAOLA ALEJANDRA</v>
          </cell>
          <cell r="U369" t="str">
            <v>DIAZ</v>
          </cell>
          <cell r="V369" t="str">
            <v>RUIZ</v>
          </cell>
          <cell r="X369" t="str">
            <v>OCA080707FG8</v>
          </cell>
          <cell r="AD369">
            <v>43248</v>
          </cell>
          <cell r="AL369" t="str">
            <v>Pavimentación con concreto hidráulico en la colonia El Zapote II, segunda etapa, municipio de Zapopan, Jalisco.</v>
          </cell>
          <cell r="AM369">
            <v>43248</v>
          </cell>
          <cell r="AN369">
            <v>43347</v>
          </cell>
          <cell r="AS369" t="str">
            <v>Colonia El Zapote II</v>
          </cell>
        </row>
        <row r="370">
          <cell r="B370" t="str">
            <v>Licitación por Invitación Restringida</v>
          </cell>
          <cell r="D370" t="str">
            <v>DOPI-MUN-R33-PAV-CI-074-2018</v>
          </cell>
          <cell r="T370" t="str">
            <v>ALEX</v>
          </cell>
          <cell r="U370" t="str">
            <v>MEDINA</v>
          </cell>
          <cell r="V370" t="str">
            <v>GÓMEZ</v>
          </cell>
          <cell r="X370" t="str">
            <v>MCO150527NY3</v>
          </cell>
          <cell r="AD370">
            <v>43248</v>
          </cell>
          <cell r="AL370" t="str">
            <v>Pavimentación con concreto hidráulico en la colonia Palmira (calle Miguel Alemán de Av. Palmira a calle Fresno), municipio de Zapopan, Jalisco, frente 1.</v>
          </cell>
          <cell r="AM370">
            <v>43248</v>
          </cell>
          <cell r="AN370">
            <v>43337</v>
          </cell>
          <cell r="AS370" t="str">
            <v>Colonia Palmira</v>
          </cell>
        </row>
        <row r="371">
          <cell r="B371" t="str">
            <v>Licitación por Invitación Restringida</v>
          </cell>
          <cell r="D371" t="str">
            <v>DOPI-MUN-R33-PAV-CI-075-2018</v>
          </cell>
          <cell r="T371" t="str">
            <v>HAYDEE LILIANA</v>
          </cell>
          <cell r="U371" t="str">
            <v>AGUILAR</v>
          </cell>
          <cell r="V371" t="str">
            <v>CASSIAN</v>
          </cell>
          <cell r="X371" t="str">
            <v>EDM970225I68</v>
          </cell>
          <cell r="AD371">
            <v>43248</v>
          </cell>
          <cell r="AL371" t="str">
            <v>Pavimentación con concreto hidráulico en la colonia Palmira (calle Miguel Alemán de Av. Palmira a calle Fresno), municipio de Zapopan, Jalisco, frente 2.</v>
          </cell>
          <cell r="AM371">
            <v>43248</v>
          </cell>
          <cell r="AN371">
            <v>43337</v>
          </cell>
          <cell r="AS371" t="str">
            <v>Colonia Palmira</v>
          </cell>
        </row>
        <row r="372">
          <cell r="B372" t="str">
            <v>Licitación por Invitación Restringida</v>
          </cell>
          <cell r="D372" t="str">
            <v>DOPI-MUN-R33-APDS-CI-076-2018</v>
          </cell>
          <cell r="T372" t="str">
            <v>ANA KARINA</v>
          </cell>
          <cell r="U372" t="str">
            <v>OJEDA</v>
          </cell>
          <cell r="V372" t="str">
            <v>FERRELL</v>
          </cell>
          <cell r="X372" t="str">
            <v>KCI120928CD5</v>
          </cell>
          <cell r="AD372">
            <v>43248</v>
          </cell>
          <cell r="AL372" t="str">
            <v>Construcción de colector pluvial y sustitución de redes de agua potable y drenaje sanitario, en la colonia La Magdalena (calle Bugambilias de Tulipán a Hidalgo), municipio de Zapopan, Jalisco.</v>
          </cell>
          <cell r="AM372">
            <v>43248</v>
          </cell>
          <cell r="AN372">
            <v>43317</v>
          </cell>
          <cell r="AS372" t="str">
            <v>Colonia La Magdalena</v>
          </cell>
        </row>
        <row r="373">
          <cell r="B373" t="str">
            <v>Licitación por Invitación Restringida</v>
          </cell>
          <cell r="D373" t="str">
            <v>DOPI-MUN-R33-PAV-CI-077-2018</v>
          </cell>
          <cell r="T373" t="str">
            <v>MARIO</v>
          </cell>
          <cell r="U373" t="str">
            <v>BELTRÁN</v>
          </cell>
          <cell r="V373" t="str">
            <v>RODRÍGUEZ Y SUSARREY</v>
          </cell>
          <cell r="X373" t="str">
            <v>CDB0506068Z4</v>
          </cell>
          <cell r="AD373">
            <v>43248</v>
          </cell>
          <cell r="AL373" t="str">
            <v>Pavimentación con concreto hidráulico en la colonia La Magdalena (calle Bugambilias de Tulipán a Hidalgo), municipio de Zapopan, Jalisco, frente 1.</v>
          </cell>
          <cell r="AM373">
            <v>43248</v>
          </cell>
          <cell r="AN373">
            <v>43347</v>
          </cell>
          <cell r="AS373" t="str">
            <v>Colonia La Magdalena</v>
          </cell>
        </row>
        <row r="374">
          <cell r="B374" t="str">
            <v>Licitación por Invitación Restringida</v>
          </cell>
          <cell r="D374" t="str">
            <v>DOPI-MUN-R33-PAV-CI-078-2018</v>
          </cell>
          <cell r="T374" t="str">
            <v>DANIEL</v>
          </cell>
          <cell r="U374" t="str">
            <v>PARRA</v>
          </cell>
          <cell r="V374" t="str">
            <v>RIVERA</v>
          </cell>
          <cell r="X374" t="str">
            <v>CON970514LY1</v>
          </cell>
          <cell r="AD374">
            <v>43248</v>
          </cell>
          <cell r="AL374" t="str">
            <v>Pavimentación con concreto hidráulico en la colonia La Magdalena (calle Bugambilias de Tulipán a Hidalgo), municipio de Zapopan, Jalisco, frente 2.</v>
          </cell>
          <cell r="AM374">
            <v>43248</v>
          </cell>
          <cell r="AN374">
            <v>43347</v>
          </cell>
          <cell r="AS374" t="str">
            <v>Colonia La Magdalena</v>
          </cell>
        </row>
        <row r="375">
          <cell r="B375" t="str">
            <v>Licitación por Invitación Restringida</v>
          </cell>
          <cell r="D375" t="str">
            <v>DOPI-MUN-FORTA-ID-CI-079-2018</v>
          </cell>
          <cell r="T375" t="str">
            <v>JAIME FERNANDO</v>
          </cell>
          <cell r="U375" t="str">
            <v>ÁLVAREZ</v>
          </cell>
          <cell r="V375" t="str">
            <v>LOZANO</v>
          </cell>
          <cell r="X375" t="str">
            <v>IMU120820NM7</v>
          </cell>
          <cell r="AD375">
            <v>43248</v>
          </cell>
          <cell r="AL375" t="str">
            <v>Construcción de ingreso principal, estructura con lonaria, rehabilitación de canchas de usos múltiples, andadores y alumbrado en el Parque de la Estrella, ubicado en la colonia Arcos de Zapopan, municipio de Zapopan, Jalisco.</v>
          </cell>
          <cell r="AM375">
            <v>43248</v>
          </cell>
          <cell r="AN375">
            <v>43337</v>
          </cell>
          <cell r="AS375" t="str">
            <v>Colonia Arcos de Zapopan</v>
          </cell>
        </row>
        <row r="376">
          <cell r="B376" t="str">
            <v>Licitación por Invitación Restringida</v>
          </cell>
          <cell r="D376" t="str">
            <v>DOPI-MUN-FORTA-ID-CI-080-2018</v>
          </cell>
          <cell r="T376" t="str">
            <v>HÉCTOR MAURICIO</v>
          </cell>
          <cell r="U376" t="str">
            <v>GRAMILLO</v>
          </cell>
          <cell r="V376" t="str">
            <v>GONZÁLEZ</v>
          </cell>
          <cell r="X376" t="str">
            <v>DED100816GB1</v>
          </cell>
          <cell r="AD376">
            <v>43248</v>
          </cell>
          <cell r="AL376" t="str">
            <v>Unidad Deportiva Tecolandia (rehabilitación de cancha de pasto sintético, construcción de cancha de futbol 7, cercado perimetral y construcción de barda, reparación de banquetas), municipio de Zapopan, Jalisco.</v>
          </cell>
          <cell r="AM376">
            <v>43248</v>
          </cell>
          <cell r="AN376">
            <v>43353</v>
          </cell>
          <cell r="AS376" t="str">
            <v>Colonia Real del Parque</v>
          </cell>
        </row>
        <row r="377">
          <cell r="B377" t="str">
            <v>Licitación por Invitación Restringida</v>
          </cell>
          <cell r="D377" t="str">
            <v>DOPI-MUN-FORTA-ID-CI-081-2018</v>
          </cell>
          <cell r="T377" t="str">
            <v>LUIS ARMANDO</v>
          </cell>
          <cell r="U377" t="str">
            <v>LINARES</v>
          </cell>
          <cell r="V377" t="str">
            <v>CACHO</v>
          </cell>
          <cell r="X377" t="str">
            <v>ECA170620KA6</v>
          </cell>
          <cell r="AD377">
            <v>43248</v>
          </cell>
          <cell r="AL377" t="str">
            <v>Unidad Deportiva Tecolandia (rehabilitación de 6 canchas de usos múltiples, techado de cancha de usos múltiples y construcción de centro de usos múltiples en la planta alta), municipio de Zapopan, Jalisco.</v>
          </cell>
          <cell r="AM377">
            <v>43248</v>
          </cell>
          <cell r="AN377">
            <v>43353</v>
          </cell>
          <cell r="AS377" t="str">
            <v>Colonia Real del Parque</v>
          </cell>
        </row>
        <row r="378">
          <cell r="B378" t="str">
            <v>Licitación por Invitación Restringida</v>
          </cell>
          <cell r="D378" t="str">
            <v>DOPI-MUN-FORTA-BAN-CI-082-2018</v>
          </cell>
          <cell r="T378" t="str">
            <v>CLAUDIA NOEMI</v>
          </cell>
          <cell r="U378" t="str">
            <v>GARCÍA</v>
          </cell>
          <cell r="V378" t="str">
            <v>CASILLAS</v>
          </cell>
          <cell r="X378" t="str">
            <v>PJU150305K8A</v>
          </cell>
          <cell r="AD378">
            <v>43248</v>
          </cell>
          <cell r="AL378" t="str">
            <v>Remozamiento de camellón en la intersección de Av. Vallarta y Calzada Lázaro Cárdenas, en el nodo víal Los Cubos, colonia Prados Vallarta, municipio de Zapopan, Jalisco.</v>
          </cell>
          <cell r="AM378">
            <v>43248</v>
          </cell>
          <cell r="AN378">
            <v>43337</v>
          </cell>
          <cell r="AS378" t="str">
            <v>Colonia Prados Vallarta</v>
          </cell>
        </row>
        <row r="379">
          <cell r="B379" t="str">
            <v>Licitación por Invitación Restringida</v>
          </cell>
          <cell r="D379" t="str">
            <v>DOPI-MUN-FORTA-IE-CI-083-2018</v>
          </cell>
          <cell r="T379" t="str">
            <v>DAVID</v>
          </cell>
          <cell r="U379" t="str">
            <v>PENILLA</v>
          </cell>
          <cell r="V379" t="str">
            <v>GONZÁLEZ</v>
          </cell>
          <cell r="X379" t="str">
            <v>CCC050411DA3</v>
          </cell>
          <cell r="AD379">
            <v>43248</v>
          </cell>
          <cell r="AL379" t="str">
            <v>Estructuras con lonaria, rehabilitación de cancha de usos múltiples, peatonalización y obra complementaria en la Escuela Primaria Urbana 1249 Antonio Gómez Robledo, ubicada en Marina Vallarta S/N, Colonia Residencial Santa Margarita, Clave: 14EPR1425K, y en la Escuela Primaria Elena Poniatowska Amor, ubicada en Valle De Atemajac, Col. Valle de Los Molinos, Clave: 14EPR1617Z municipio de Zapopan, Jalisco.</v>
          </cell>
          <cell r="AM379">
            <v>43248</v>
          </cell>
          <cell r="AN379">
            <v>43337</v>
          </cell>
          <cell r="AS379" t="str">
            <v>Colonias Resindencial Santa Margarita y Valle de los Molinos</v>
          </cell>
        </row>
        <row r="380">
          <cell r="B380" t="str">
            <v>Licitación por Invitación Restringida</v>
          </cell>
          <cell r="D380" t="str">
            <v>DOPI-MUN-FORTA-IE-CI-084-2018</v>
          </cell>
          <cell r="T380" t="str">
            <v>MARIA NELBA</v>
          </cell>
          <cell r="U380" t="str">
            <v xml:space="preserve">FONSECA </v>
          </cell>
          <cell r="V380" t="str">
            <v>GUTIERREZ</v>
          </cell>
          <cell r="X380" t="str">
            <v>FCP100909B70</v>
          </cell>
          <cell r="AD380">
            <v>43248</v>
          </cell>
          <cell r="AL380" t="str">
            <v>Estructuras con lonaria, rehabilitación de cancha de usos múltiples, peatonalización y obra complementaria en la Escuela Primaria José López Portillo y Rojas, ubicada en Calle Río Cihuatlán No.2763, Colonia Las Águilas, Clave: 14DPR2452P, y en la Escuela Primaria Federal Francisco I. Madero, ubicada en Av. Prolongación Gpe. No. 23, Colonia Arenales Tapatíos, Clave: 14DPR0083W, municipio de Zapopan, Jalisco.</v>
          </cell>
          <cell r="AM380">
            <v>43248</v>
          </cell>
          <cell r="AN380">
            <v>43337</v>
          </cell>
          <cell r="AS380" t="str">
            <v>Colonias Las Aguilas y Arenales Tapatios</v>
          </cell>
        </row>
        <row r="381">
          <cell r="B381" t="str">
            <v>Licitación por Invitación Restringida</v>
          </cell>
          <cell r="D381" t="str">
            <v>DOPI-MUN-FORTA-IE-CI-085-2018</v>
          </cell>
          <cell r="T381" t="str">
            <v>CLARISSA GABRIELA</v>
          </cell>
          <cell r="U381" t="str">
            <v>VALDEZ</v>
          </cell>
          <cell r="V381" t="str">
            <v>MANJARREZ</v>
          </cell>
          <cell r="X381" t="str">
            <v>TGE101215JI6</v>
          </cell>
          <cell r="AD381">
            <v>43248</v>
          </cell>
          <cell r="AL381" t="str">
            <v>Estructuras con lonaria, rehabilitación de cancha de usos múltiples, peatonalización y obra complementaria en la Escuela Primaria Pensador Mexicano, ubicada en la Calle San Miguel No. 2005, Colonia La Palmira, Clave: 14DPR4072U, y en la Escuela Primaria Urbana 1248, Benemérito de las Américas, ubicada en la Calle Palmas, Colonia El Fresno, Clave: 14DPR1283C municipio de Zapopan, Jalisco.</v>
          </cell>
          <cell r="AM381">
            <v>43248</v>
          </cell>
          <cell r="AN381">
            <v>43337</v>
          </cell>
          <cell r="AS381" t="str">
            <v>Colonias La Palmira y El Fresno</v>
          </cell>
        </row>
        <row r="382">
          <cell r="B382" t="str">
            <v>Licitación por Invitación Restringida</v>
          </cell>
          <cell r="D382" t="str">
            <v>DOPI-MUN-FORTA-IE-CI-086-2018</v>
          </cell>
          <cell r="T382" t="str">
            <v>EDWIN</v>
          </cell>
          <cell r="U382" t="str">
            <v>AGUIAR</v>
          </cell>
          <cell r="V382" t="str">
            <v>ESCATEL</v>
          </cell>
          <cell r="X382" t="str">
            <v>MUR090325P33</v>
          </cell>
          <cell r="AD382">
            <v>43248</v>
          </cell>
          <cell r="AL382" t="str">
            <v>Estructuras con lonaria, rehabilitación de cancha de usos múltiples, peatonalización y obra complementaria en el Preescolar Jardín De Niños María Guadalupe Palafox Ornelas, ubicado en la Calle López Portillo, Colonia Jardines Del Ixtepete, Clave: 14DJN1398O, y en la Escuela Primaria Juan Rulfo, ubicada en la Calle Viña del Mar, Colonia Miramar, Clave: 14EPR1546W municipio de Zapopan, Jalisco.</v>
          </cell>
          <cell r="AM382">
            <v>43248</v>
          </cell>
          <cell r="AN382">
            <v>43337</v>
          </cell>
          <cell r="AS382" t="str">
            <v>Colonias Jardines del Ixtepete y Miramar</v>
          </cell>
        </row>
        <row r="383">
          <cell r="B383" t="str">
            <v>Licitación por Invitación Restringida</v>
          </cell>
          <cell r="D383" t="str">
            <v>DOPI-MUN-FORTA-IE-CI-087-2018</v>
          </cell>
          <cell r="T383" t="str">
            <v>HÉCTOR MARIO</v>
          </cell>
          <cell r="U383" t="str">
            <v>GÓMEZ</v>
          </cell>
          <cell r="V383" t="str">
            <v>GALVARRIATO FREER</v>
          </cell>
          <cell r="X383" t="str">
            <v>EAP000106BW7</v>
          </cell>
          <cell r="AD383">
            <v>43248</v>
          </cell>
          <cell r="AL383" t="str">
            <v>Estructuras con lonaria, rehabilitación de cancha de usos múltiples, peatonalización y obra complementaria en la Escuela Primaria J. Jesús González Gallo, ubicada en la Calle Sayil, Colonia Jardines del Sol, Clave: 14DPR1388Y, municipio de Zapopan, Jalisco.</v>
          </cell>
          <cell r="AM383">
            <v>43248</v>
          </cell>
          <cell r="AN383">
            <v>43337</v>
          </cell>
          <cell r="AS383" t="str">
            <v>Colonia Jardines del Sol</v>
          </cell>
        </row>
        <row r="384">
          <cell r="B384" t="str">
            <v>Licitación por Invitación Restringida</v>
          </cell>
          <cell r="D384" t="str">
            <v>DOPI-MUN-RM-PAV-CI-088-2018</v>
          </cell>
          <cell r="T384" t="str">
            <v>LAURA LILIA</v>
          </cell>
          <cell r="U384" t="str">
            <v>ARELLANO</v>
          </cell>
          <cell r="V384" t="str">
            <v>CERNA</v>
          </cell>
          <cell r="X384" t="str">
            <v>CEI120724PR2</v>
          </cell>
          <cell r="AD384">
            <v>43248</v>
          </cell>
          <cell r="AL384" t="str">
            <v>Pavimentación con concreto hidráulico de calle Juan del Carmen, de calle Urano a Periférico, incluye agua potable, drenaje, guarniciones, banquetas, alumbrado y señalética, en la colonia La Palmita, Municipio de Zapopan, Jalisco, Primera Etapa.</v>
          </cell>
          <cell r="AM384">
            <v>43248</v>
          </cell>
          <cell r="AN384">
            <v>43307</v>
          </cell>
          <cell r="AS384" t="str">
            <v>Colonia La Palmita</v>
          </cell>
        </row>
        <row r="385">
          <cell r="B385" t="str">
            <v>Licitación por Invitación Restringida</v>
          </cell>
          <cell r="D385" t="str">
            <v>DOPI-MUN-RM-PAV-CI-089-2018</v>
          </cell>
          <cell r="T385" t="str">
            <v>VICTOR MANUEL</v>
          </cell>
          <cell r="U385" t="str">
            <v>JAUREGUI</v>
          </cell>
          <cell r="V385" t="str">
            <v>TORRES</v>
          </cell>
          <cell r="X385" t="str">
            <v>CEA070208SB1</v>
          </cell>
          <cell r="AD385">
            <v>43248</v>
          </cell>
          <cell r="AL385" t="str">
            <v>Pavimentación con mezcla asfáltica de calle Víctor Hugo, de calle Corpeña a calle Del Canal, incluye agua potable, drenaje, guarniciones, banquetas, alumbrado y señalética, en la colonia Víctor Hugo, Municipio de Zapopan, Jalisco, frente 1.</v>
          </cell>
          <cell r="AM385">
            <v>43248</v>
          </cell>
          <cell r="AN385">
            <v>43337</v>
          </cell>
          <cell r="AS385" t="str">
            <v>Colonia Víctor Hugo</v>
          </cell>
        </row>
        <row r="386">
          <cell r="B386" t="str">
            <v>Licitación por Invitación Restringida</v>
          </cell>
          <cell r="D386" t="str">
            <v>DOPI-MUN-RM-PAV-CI-090-2018</v>
          </cell>
          <cell r="T386" t="str">
            <v>MAXIMILIANO</v>
          </cell>
          <cell r="U386" t="str">
            <v>TORRES</v>
          </cell>
          <cell r="V386" t="str">
            <v>LÓPEZ</v>
          </cell>
          <cell r="X386" t="str">
            <v>GCS080902S44</v>
          </cell>
          <cell r="AD386">
            <v>43248</v>
          </cell>
          <cell r="AL386" t="str">
            <v>Pavimentación con mezcla asfáltica de calle Víctor Hugo, de calle Corpeña a calle Del Canal, incluye agua potable, drenaje, guarniciones, banquetas, alumbrado y señalética, en la colonia Víctor Hugo, Municipio de Zapopan, Jalisco, frente 2.</v>
          </cell>
          <cell r="AM386">
            <v>43248</v>
          </cell>
          <cell r="AN386">
            <v>43337</v>
          </cell>
          <cell r="AS386" t="str">
            <v>Colonia Víctor Hugo</v>
          </cell>
        </row>
        <row r="387">
          <cell r="B387" t="str">
            <v>Licitación por Invitación Restringida</v>
          </cell>
          <cell r="D387" t="str">
            <v>DOPI-MUN-RM-PAV-CI-091-2018</v>
          </cell>
          <cell r="T387" t="str">
            <v>SERGIO CESAR</v>
          </cell>
          <cell r="U387" t="str">
            <v>DÍAZ</v>
          </cell>
          <cell r="V387" t="str">
            <v>QUIROZ</v>
          </cell>
          <cell r="X387" t="str">
            <v>TRA750528286</v>
          </cell>
          <cell r="AD387">
            <v>43248</v>
          </cell>
          <cell r="AL387" t="str">
            <v>Pavimentación con concreto hidráulico de calle Morelos, de coto Rinconada Alcalde al Canal, Incluye agua potable, drenaje, guarniciones, banquetas, alumbrado y señalética, en la colonia Hogares del Batán, Municipio de Zapopan, Jalisco.</v>
          </cell>
          <cell r="AM387">
            <v>43248</v>
          </cell>
          <cell r="AN387">
            <v>43337</v>
          </cell>
          <cell r="AS387" t="str">
            <v>Colonia Hogares del Batán</v>
          </cell>
        </row>
        <row r="388">
          <cell r="B388" t="str">
            <v>Licitación por Invitación Restringida</v>
          </cell>
          <cell r="D388" t="str">
            <v>DOPI-MUN-RM-PAV-CI-092-2018</v>
          </cell>
          <cell r="T388" t="str">
            <v>JESÚS DAVID</v>
          </cell>
          <cell r="U388" t="str">
            <v xml:space="preserve">GARZA </v>
          </cell>
          <cell r="V388" t="str">
            <v>GARCÍA</v>
          </cell>
          <cell r="X388" t="str">
            <v>CGG040518F81</v>
          </cell>
          <cell r="AD388">
            <v>43248</v>
          </cell>
          <cell r="AL388" t="str">
            <v>Pavimentación con mezcla asfáltica de calle Del Conde, de calle Circuito Madrigal a cerrada, incluye: guarniciones, banquetas y señalética, en la colonia Villa Universitaria, municipio de Zapopan, Jalisco.</v>
          </cell>
          <cell r="AM388">
            <v>43248</v>
          </cell>
          <cell r="AN388">
            <v>43322</v>
          </cell>
          <cell r="AS388" t="str">
            <v>Colonia Villa Universitaria</v>
          </cell>
        </row>
        <row r="389">
          <cell r="B389" t="str">
            <v>Licitación por Invitación Restringida</v>
          </cell>
          <cell r="D389" t="str">
            <v>DOPI-MUN-RM-PAV-CI-094-2018</v>
          </cell>
          <cell r="T389" t="str">
            <v>OMAR ALFREDO</v>
          </cell>
          <cell r="U389" t="str">
            <v>MARTÍNEZ</v>
          </cell>
          <cell r="V389" t="str">
            <v>GÓMEZ</v>
          </cell>
          <cell r="X389" t="str">
            <v>IMS060720JX9</v>
          </cell>
          <cell r="AD389">
            <v>43248</v>
          </cell>
          <cell r="AL389" t="str">
            <v>Pavimentación con mezcla asfáltica de calles Severo Díaz, José María Arreola, Playa Blanca Oriente y Playa Blanca Poniente, en la colonia Residencial Moctezuma, incluye: guarniciones, banquetas y señalética, Municipio de Zapopan, Jalisco, frente 1.</v>
          </cell>
          <cell r="AM389">
            <v>43248</v>
          </cell>
          <cell r="AN389">
            <v>43337</v>
          </cell>
          <cell r="AS389" t="str">
            <v>Colonia Resindencial Moctezuma</v>
          </cell>
        </row>
        <row r="390">
          <cell r="B390" t="str">
            <v>Licitación por Invitación Restringida</v>
          </cell>
          <cell r="D390" t="str">
            <v>DOPI-MUN-RM-PAV-CI-095-2018</v>
          </cell>
          <cell r="T390" t="str">
            <v>OSCAR MELESIO</v>
          </cell>
          <cell r="U390" t="str">
            <v>HERNÁNDEZ</v>
          </cell>
          <cell r="V390" t="str">
            <v>VALERIANO</v>
          </cell>
          <cell r="X390" t="str">
            <v>CGR120828P29</v>
          </cell>
          <cell r="AD390">
            <v>43248</v>
          </cell>
          <cell r="AL390" t="str">
            <v>Pavimentación con mezcla asfáltica de calles Severo Díaz, José María Arreola, Playa Blanca Oriente y Playa Blanca Poniente, en la colonia Residencial Moctezuma, incluye: guarniciones, banquetas y señalética, Municipio de Zapopan, Jalisco, frente 2.</v>
          </cell>
          <cell r="AM390">
            <v>43248</v>
          </cell>
          <cell r="AN390">
            <v>43337</v>
          </cell>
          <cell r="AS390" t="str">
            <v>Colonia Resindencial Moctezuma</v>
          </cell>
        </row>
        <row r="391">
          <cell r="B391" t="str">
            <v>Licitación por Invitación Restringida</v>
          </cell>
          <cell r="D391" t="str">
            <v>DOPI-MUN-RM-PAV-CI-096-2018</v>
          </cell>
          <cell r="T391" t="str">
            <v>ORNELLA CAROLINA</v>
          </cell>
          <cell r="U391" t="str">
            <v>LEGASPI</v>
          </cell>
          <cell r="V391" t="str">
            <v>MUÑOZ</v>
          </cell>
          <cell r="X391" t="str">
            <v>TEM141021N31</v>
          </cell>
          <cell r="AD391">
            <v>43248</v>
          </cell>
          <cell r="AL391" t="str">
            <v>Pavimentación con mezcla asfáltica de calle Belisario Domínguez - Paseo de la Primavera, de privada Mariano Otero a Av. Guadalupe, en las colonias Mariano Otero y Arenales Tapatíos, segunda etapa, Municipio de Zapopan, Jalisco, frente 1.</v>
          </cell>
          <cell r="AM391">
            <v>43248</v>
          </cell>
          <cell r="AN391">
            <v>43322</v>
          </cell>
          <cell r="AS391" t="str">
            <v>Colonias Mariano Otero y Arenales Tapatíos</v>
          </cell>
        </row>
        <row r="392">
          <cell r="B392" t="str">
            <v>Licitación por Invitación Restringida</v>
          </cell>
          <cell r="D392" t="str">
            <v>DOPI-MUN-RM-PAV-CI-097-2018</v>
          </cell>
          <cell r="T392" t="str">
            <v>JOSÉ FRANCISCO</v>
          </cell>
          <cell r="U392" t="str">
            <v>LLAGUNO</v>
          </cell>
          <cell r="V392" t="str">
            <v>YZABAL</v>
          </cell>
          <cell r="X392" t="str">
            <v>ESP940311A26</v>
          </cell>
          <cell r="AD392">
            <v>43248</v>
          </cell>
          <cell r="AL392" t="str">
            <v>Pavimentación con mezcla asfáltica de calle Belisario Domínguez - Paseo de la Primavera, de privada Mariano Otero a Av. Guadalupe, en las colonias Mariano Otero y Arenales Tapatíos, segunda etapa, Municipio de Zapopan, Jalisco, frente 2.</v>
          </cell>
          <cell r="AM392">
            <v>43248</v>
          </cell>
          <cell r="AN392">
            <v>43322</v>
          </cell>
          <cell r="AS392" t="str">
            <v>Colonias Mariano Otero y Arenales Tapatíos</v>
          </cell>
        </row>
        <row r="393">
          <cell r="B393" t="str">
            <v>Licitación por Invitación Restringida</v>
          </cell>
          <cell r="D393" t="str">
            <v>DOPI-MUN-RM-PAV-CI-098-2018</v>
          </cell>
          <cell r="T393" t="str">
            <v xml:space="preserve">NÉSTOR </v>
          </cell>
          <cell r="U393" t="str">
            <v>DE LA TORRE</v>
          </cell>
          <cell r="V393" t="str">
            <v>MENCHACA</v>
          </cell>
          <cell r="X393" t="str">
            <v>ITO951005HY5</v>
          </cell>
          <cell r="AD393">
            <v>43248</v>
          </cell>
          <cell r="AL393" t="str">
            <v>Pavimentación con concreto hidráulico de la Av. Camino Antiguo a Tesistan de la calle De las Palmeras a la calle Arcos de Alejandro carril sur, incluye: banquetas, servicios complementarios y señalamiento, en la colonia Parques de Zapopan, municipio de Zapopan, Jalisco.</v>
          </cell>
          <cell r="AM393">
            <v>43248</v>
          </cell>
          <cell r="AN393">
            <v>43317</v>
          </cell>
          <cell r="AS393" t="str">
            <v>Colonia Parquesde Zapopan</v>
          </cell>
        </row>
        <row r="394">
          <cell r="B394" t="str">
            <v>Licitación por Invitación Restringida</v>
          </cell>
          <cell r="D394" t="str">
            <v>DOPI-MUN-RM-PAV-CI-099-2018</v>
          </cell>
          <cell r="T394" t="str">
            <v>TOMÁS</v>
          </cell>
          <cell r="U394" t="str">
            <v>SANDOVAL</v>
          </cell>
          <cell r="V394" t="str">
            <v>ÁLVAREZ</v>
          </cell>
          <cell r="X394" t="str">
            <v>CRM910909K48</v>
          </cell>
          <cell r="AD394">
            <v>43248</v>
          </cell>
          <cell r="AL394" t="str">
            <v>Pavimentación con concreto hidráulico de la Av. Camino Antiguo a Tesistan de la calle De las Palmeras a la calle Arcos de Alejandro carril norte, incluye: pozos de absorción, servicios complementarios, señalamiento y arbolado, en la colonia Parques de Zapopan, municipio de Zapopan, Jalisco.</v>
          </cell>
          <cell r="AM394">
            <v>43248</v>
          </cell>
          <cell r="AN394">
            <v>43337</v>
          </cell>
          <cell r="AS394" t="str">
            <v>Colonia Parquesde Zapopan</v>
          </cell>
        </row>
        <row r="395">
          <cell r="B395" t="str">
            <v>Licitación por Invitación Restringida</v>
          </cell>
          <cell r="D395" t="str">
            <v>DOPI-MUN-RM-IH-CI-100-2018</v>
          </cell>
          <cell r="T395" t="str">
            <v>HELIODORO NICOLAS</v>
          </cell>
          <cell r="U395" t="str">
            <v>ACEVES</v>
          </cell>
          <cell r="V395" t="str">
            <v>OROZCO</v>
          </cell>
          <cell r="X395" t="str">
            <v>IMA050204LA9</v>
          </cell>
          <cell r="AD395">
            <v>43248</v>
          </cell>
          <cell r="AL395" t="str">
            <v>Construcción de ollas de captación de agua y caminos saca cosechas, en el ejido de Santa Lucia, municipio de Zapopan, Jalisco. Frente 1.</v>
          </cell>
          <cell r="AM395">
            <v>43248</v>
          </cell>
          <cell r="AN395">
            <v>43307</v>
          </cell>
          <cell r="AS395" t="str">
            <v>Ejido Santa Lucia</v>
          </cell>
        </row>
        <row r="396">
          <cell r="B396" t="str">
            <v>Invitación a Cuando Menos Tres Personas</v>
          </cell>
          <cell r="D396" t="str">
            <v>DOPI-FED-PR-PAV-CI-102-2018</v>
          </cell>
          <cell r="T396" t="str">
            <v>CARLOS</v>
          </cell>
          <cell r="U396" t="str">
            <v>DEL RIO</v>
          </cell>
          <cell r="V396" t="str">
            <v>MADRIGAL</v>
          </cell>
          <cell r="X396" t="str">
            <v>PIU790912MS1</v>
          </cell>
          <cell r="AD396">
            <v>43248</v>
          </cell>
          <cell r="AL396" t="str">
            <v>Construcción de la calle 5 de Mayo con concreto hidráulico entre la calle Juárez y Francisco I. Madero, en la Delegación de Santa Ana Tepetitlan, municipio de Zapopan, Jalisco.</v>
          </cell>
          <cell r="AM396">
            <v>43248</v>
          </cell>
          <cell r="AN396">
            <v>43347</v>
          </cell>
          <cell r="AS396" t="str">
            <v>Localidad de Santa Ana Tepetitlán</v>
          </cell>
        </row>
        <row r="397">
          <cell r="B397" t="str">
            <v>Licitación por Invitación Restringida</v>
          </cell>
          <cell r="D397" t="str">
            <v>DOPI-MUN-RM-BACHEO-CI-104-2018</v>
          </cell>
          <cell r="T397" t="str">
            <v>ÁNGEL SALOMÓN</v>
          </cell>
          <cell r="U397" t="str">
            <v>RINCÓN</v>
          </cell>
          <cell r="V397" t="str">
            <v>DE LA ROSA</v>
          </cell>
          <cell r="X397" t="str">
            <v>AAR120507VA9</v>
          </cell>
          <cell r="AD397">
            <v>43248</v>
          </cell>
          <cell r="AL397" t="str">
            <v>Programa municipal de bacheo superficial aislado y nivelación con mezcla asfaltíca en caliente en vialidades, Zona Sur, frente 1, municipio de Zapopan, Jalisco.</v>
          </cell>
          <cell r="AM397">
            <v>43248</v>
          </cell>
          <cell r="AN397">
            <v>43297</v>
          </cell>
        </row>
        <row r="398">
          <cell r="B398" t="str">
            <v>Licitación por Invitación Restringida</v>
          </cell>
          <cell r="D398" t="str">
            <v>DOPI-MUN-RM-CALAFATEO-CI-105-2018</v>
          </cell>
          <cell r="T398" t="str">
            <v xml:space="preserve">ARTURO </v>
          </cell>
          <cell r="U398" t="str">
            <v>MONTUFAR</v>
          </cell>
          <cell r="V398" t="str">
            <v>NUÑEZ</v>
          </cell>
          <cell r="X398" t="str">
            <v>VPC0012148K0</v>
          </cell>
          <cell r="AD398">
            <v>43248</v>
          </cell>
          <cell r="AL398" t="str">
            <v>Programa municipal de calafateo en juntas y grietas de pavimentos hidráulicos con sellador asfaltico en vialidades, Zona Sur, frente 1, municipio de Zapopan, Jalisco.</v>
          </cell>
          <cell r="AM398">
            <v>43248</v>
          </cell>
          <cell r="AN398">
            <v>43297</v>
          </cell>
        </row>
        <row r="399">
          <cell r="B399" t="str">
            <v>Licitación por Invitación Restringida</v>
          </cell>
          <cell r="D399" t="str">
            <v>DOPI-MUN-RM-CONT-CI-148-2018</v>
          </cell>
          <cell r="T399" t="str">
            <v>RODRIGO</v>
          </cell>
          <cell r="U399" t="str">
            <v>RAMOS</v>
          </cell>
          <cell r="V399" t="str">
            <v>GARIBI</v>
          </cell>
          <cell r="X399" t="str">
            <v>CMA070307RU6</v>
          </cell>
          <cell r="AD399">
            <v>43262</v>
          </cell>
          <cell r="AL399" t="str">
            <v>Sistema de estabilización de taludes mediante el sistema de anclajes y recubrimiento de concreto lanzado, sobre la Lateral Poniente de Periférico de Prolongación Av. Central Guillermo González Camarena a calle 5 de Mayo, municipio de Zapopan, Jalisco.</v>
          </cell>
          <cell r="AM399">
            <v>43262</v>
          </cell>
          <cell r="AN399">
            <v>43296</v>
          </cell>
          <cell r="AS399" t="str">
            <v>Colonia Poniente</v>
          </cell>
        </row>
        <row r="400">
          <cell r="B400" t="str">
            <v>Licitación por Invitación Restringida</v>
          </cell>
          <cell r="D400" t="str">
            <v>DOPI-MUN-RM-IH-CI-149-2018</v>
          </cell>
          <cell r="T400" t="str">
            <v>KARLA MARÍANA</v>
          </cell>
          <cell r="U400" t="str">
            <v>MÉNDEZ</v>
          </cell>
          <cell r="V400" t="str">
            <v>RODRÍGUEZ</v>
          </cell>
          <cell r="X400" t="str">
            <v>GFU021009BC1</v>
          </cell>
          <cell r="AD400">
            <v>43262</v>
          </cell>
          <cell r="AL400" t="str">
            <v>Perforación y equipamiento de pozo profundo El Briseño, ubicado en la colonia El Briseño, municipio de Zapopan, Jalisco.</v>
          </cell>
          <cell r="AM400">
            <v>43262</v>
          </cell>
          <cell r="AN400">
            <v>43343</v>
          </cell>
          <cell r="AS400" t="str">
            <v>Colonia El Briseño</v>
          </cell>
        </row>
        <row r="401">
          <cell r="B401" t="str">
            <v>Licitación por Invitación Restringida</v>
          </cell>
          <cell r="D401" t="str">
            <v>DOPI-MUN-RM-PAV-CI-150-2018</v>
          </cell>
          <cell r="T401" t="str">
            <v>JORGE LUIS</v>
          </cell>
          <cell r="U401" t="str">
            <v>MARISCAL</v>
          </cell>
          <cell r="V401" t="str">
            <v>TORRES</v>
          </cell>
          <cell r="X401" t="str">
            <v>BEC0906257J5</v>
          </cell>
          <cell r="AD401">
            <v>43262</v>
          </cell>
          <cell r="AL401" t="str">
            <v>Construcción de pavimento de concreto hidráulico, incluye: guarniciones, banquetas, señalamiento vertical y horizontal y servicios complementarios en Av. Palmira de Jazmín a Palmitas, colonia La Palmira, municipio de Zapopan, Jalisco.</v>
          </cell>
          <cell r="AM401">
            <v>43262</v>
          </cell>
          <cell r="AN401">
            <v>43311</v>
          </cell>
          <cell r="AS401" t="str">
            <v>Colonia La Palmira</v>
          </cell>
        </row>
      </sheetData>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zapopan.gob.mx/repositorio/view/file/ll13reskftuurxjtwfe9/211-2016.pdf" TargetMode="External"/><Relationship Id="rId299" Type="http://schemas.openxmlformats.org/officeDocument/2006/relationships/hyperlink" Target="https://www.zapopan.gob.mx/wp-content/uploads/2019/10/CO_265_16_VP.pdf" TargetMode="External"/><Relationship Id="rId21" Type="http://schemas.openxmlformats.org/officeDocument/2006/relationships/hyperlink" Target="https://www.zapopan.gob.mx/repositorio/view/file/252qnqazqlxzzgpe5vam/CONTRATO_217-18_Censurado.pdf" TargetMode="External"/><Relationship Id="rId63" Type="http://schemas.openxmlformats.org/officeDocument/2006/relationships/hyperlink" Target="https://www.zapopan.gob.mx/repositorio/view/file/z3tbcsu4csyyrccsozn2/CONTRATO_128-18_Censurado.pdf" TargetMode="External"/><Relationship Id="rId159" Type="http://schemas.openxmlformats.org/officeDocument/2006/relationships/hyperlink" Target="http://www.zapopan.gob.mx/wp-content/uploads/2017/06/DOPI_012_2016.pdf" TargetMode="External"/><Relationship Id="rId324" Type="http://schemas.openxmlformats.org/officeDocument/2006/relationships/hyperlink" Target="https://www.zapopan.gob.mx/repositorio/view/file/qcjqhlffttvvjiu9w3c5/249-2016.pdf" TargetMode="External"/><Relationship Id="rId366" Type="http://schemas.openxmlformats.org/officeDocument/2006/relationships/hyperlink" Target="https://www.zapopan.gob.mx/repositorio/view/file/qj9xjm5tx5bnkbubiesq/104-2016.pdf" TargetMode="External"/><Relationship Id="rId170" Type="http://schemas.openxmlformats.org/officeDocument/2006/relationships/hyperlink" Target="https://www.zapopan.gob.mx/repositorio/view/file/ejxvavvc6yv622nuudkg/CONTRATO%20026-2018_Censurado.pdf" TargetMode="External"/><Relationship Id="rId226" Type="http://schemas.openxmlformats.org/officeDocument/2006/relationships/hyperlink" Target="https://www.zapopan.gob.mx/repositorio/view/file/ut2jcur6otze91d0dmvm/CONTRATO_091-18_Censurado.pdf" TargetMode="External"/><Relationship Id="rId433" Type="http://schemas.openxmlformats.org/officeDocument/2006/relationships/hyperlink" Target="https://www.zapopan.gob.mx/repositorio/view/file/24v4tht4mqxyv00jc0ah/CONTRATO%20058-2017_Censurado.pdf" TargetMode="External"/><Relationship Id="rId268" Type="http://schemas.openxmlformats.org/officeDocument/2006/relationships/hyperlink" Target="https://www.zapopan.gob.mx/transparencia/obras-publicas/planes-parciales/" TargetMode="External"/><Relationship Id="rId475" Type="http://schemas.openxmlformats.org/officeDocument/2006/relationships/hyperlink" Target="https://www.zapopan.gob.mx/repositorio/view/file/pz1ztxuxg3az4s0dlv87/246-2017.pdf" TargetMode="External"/><Relationship Id="rId32" Type="http://schemas.openxmlformats.org/officeDocument/2006/relationships/hyperlink" Target="https://www.zapopan.gob.mx/repositorio/view/file/t49boidsuzcmganfhcis/CONTRATO_180-18_Censurado.pdf" TargetMode="External"/><Relationship Id="rId74" Type="http://schemas.openxmlformats.org/officeDocument/2006/relationships/hyperlink" Target="https://www.zapopan.gob.mx/repositorio/view/file/fkmp4h9l7rccakd7j0sd/CONTRATO_116-18_Censurado.pdf" TargetMode="External"/><Relationship Id="rId128" Type="http://schemas.openxmlformats.org/officeDocument/2006/relationships/hyperlink" Target="https://www.zapopan.gob.mx/repositorio/view/file/2elwjkn4436qaszmrwvx/014-2016.pdf" TargetMode="External"/><Relationship Id="rId335" Type="http://schemas.openxmlformats.org/officeDocument/2006/relationships/hyperlink" Target="https://www.zapopan.gob.mx/repositorio/view/file/bdnj8gch88wtitc9wkny/262-2016.pdf" TargetMode="External"/><Relationship Id="rId377" Type="http://schemas.openxmlformats.org/officeDocument/2006/relationships/hyperlink" Target="https://www.zapopan.gob.mx/repositorio/view/file/di6bzezgmg91va87eivl/194-2016.pdf" TargetMode="External"/><Relationship Id="rId500" Type="http://schemas.openxmlformats.org/officeDocument/2006/relationships/hyperlink" Target="https://www.zapopan.gob.mx/wp-content/uploads/2021/05/Contrato_141_2016_VP.pdf" TargetMode="External"/><Relationship Id="rId5" Type="http://schemas.openxmlformats.org/officeDocument/2006/relationships/hyperlink" Target="https://www.zapopan.gob.mx/repositorio/view/file/dzy718ijibeoa9m8zwce/022-2016.pdf" TargetMode="External"/><Relationship Id="rId181" Type="http://schemas.openxmlformats.org/officeDocument/2006/relationships/hyperlink" Target="https://www.zapopan.gob.mx/repositorio/view/file/iigtdikysex5whdchqjw/CONTRATO_038-18_Censurado.pdf" TargetMode="External"/><Relationship Id="rId237" Type="http://schemas.openxmlformats.org/officeDocument/2006/relationships/hyperlink" Target="https://www.zapopan.gob.mx/repositorio/view/file/s6y9yty6geohhrjtzydo/CONTRATO_105-18_Censurado.pdf" TargetMode="External"/><Relationship Id="rId402" Type="http://schemas.openxmlformats.org/officeDocument/2006/relationships/hyperlink" Target="https://www.zapopan.gob.mx/repositorio/view/file/7vwcbbkizasei97ixcai/CONTRATO_354-17_Censurado.pdf" TargetMode="External"/><Relationship Id="rId279" Type="http://schemas.openxmlformats.org/officeDocument/2006/relationships/hyperlink" Target="https://www.zapopan.gob.mx/repositorio/view/file/g009hopzqobrps7ucthr/CONTRATO_175-16_Censurado.pdf" TargetMode="External"/><Relationship Id="rId444" Type="http://schemas.openxmlformats.org/officeDocument/2006/relationships/hyperlink" Target="https://www.zapopan.gob.mx/repositorio/view/file/w0lykdctljn0sx14kvxj/332-2017.pdf" TargetMode="External"/><Relationship Id="rId486" Type="http://schemas.openxmlformats.org/officeDocument/2006/relationships/hyperlink" Target="http://www.zapopan.gob.mx/repositorio/view/file/qnv3rf4ac8w4yvo1r3hr/CONTRATO_253_2017.pdf" TargetMode="External"/><Relationship Id="rId43" Type="http://schemas.openxmlformats.org/officeDocument/2006/relationships/hyperlink" Target="https://www.zapopan.gob.mx/repositorio/view/file/t99cmqwn58ubgp2jdbvm/CONTRATO%20158-2018_Censurado.pdf" TargetMode="External"/><Relationship Id="rId139" Type="http://schemas.openxmlformats.org/officeDocument/2006/relationships/hyperlink" Target="https://www.zapopan.gob.mx/repositorio/view/file/21oyztxkvq5km6yiwrgk/208-2016.pdf" TargetMode="External"/><Relationship Id="rId290" Type="http://schemas.openxmlformats.org/officeDocument/2006/relationships/hyperlink" Target="https://www.zapopan.gob.mx/repositorio/view/file/aoox5dn0rgjfb59paygp/CONTRATO_195-16_Censurado.pdf" TargetMode="External"/><Relationship Id="rId304" Type="http://schemas.openxmlformats.org/officeDocument/2006/relationships/hyperlink" Target="https://www.zapopan.gob.mx/repositorio/view/file/t3f63hnopc9y3olhk7hq/138-2016.pdf" TargetMode="External"/><Relationship Id="rId346" Type="http://schemas.openxmlformats.org/officeDocument/2006/relationships/hyperlink" Target="https://www.zapopan.gob.mx/repositorio/view/file/upw3a2hdefjg3lutr3pz/280-2016.pdf" TargetMode="External"/><Relationship Id="rId388" Type="http://schemas.openxmlformats.org/officeDocument/2006/relationships/hyperlink" Target="http://www.zapopan.gob.mx/repositorio/view/file/voau7ziqmtq0xojcd1k3/CONTRATO_183_2017.pdf" TargetMode="External"/><Relationship Id="rId85" Type="http://schemas.openxmlformats.org/officeDocument/2006/relationships/hyperlink" Target="https://www.zapopan.gob.mx/repositorio/view/file/ldhc7azpr3jxpdb4ntpm/CONTRATO%20021-2018_Censurado.pdf" TargetMode="External"/><Relationship Id="rId150" Type="http://schemas.openxmlformats.org/officeDocument/2006/relationships/hyperlink" Target="https://www.zapopan.gob.mx/repositorio/view/file/bjohf0kgryiajv7ydj1q/076-2016.pdf" TargetMode="External"/><Relationship Id="rId192" Type="http://schemas.openxmlformats.org/officeDocument/2006/relationships/hyperlink" Target="https://www.zapopan.gob.mx/repositorio/view/file/glztdir1dmn6fwoec2uo/CONTRATO_050-18_Censurado.pdf" TargetMode="External"/><Relationship Id="rId206" Type="http://schemas.openxmlformats.org/officeDocument/2006/relationships/hyperlink" Target="https://www.zapopan.gob.mx/repositorio/view/file/nmhx3tctw9vnedz3vcpo/CONTRATO%20070%202018-CENSURADO.pdf" TargetMode="External"/><Relationship Id="rId413" Type="http://schemas.openxmlformats.org/officeDocument/2006/relationships/hyperlink" Target="http://www.zapopan.gob.mx/repositorio/view/file/ypot26emq4feo94zdc89/CONTRATO_211_2017.pdf" TargetMode="External"/><Relationship Id="rId248" Type="http://schemas.openxmlformats.org/officeDocument/2006/relationships/hyperlink" Target="https://www.zapopan.gob.mx/repositorio/view/file/xcssraxh63va5aucrvyq/Contrato_200-18_Censurado.pdf" TargetMode="External"/><Relationship Id="rId455" Type="http://schemas.openxmlformats.org/officeDocument/2006/relationships/hyperlink" Target="https://www.zapopan.gob.mx/repositorio/view/file/2wjpmar43rljl8v6copr/021-2017.pdf" TargetMode="External"/><Relationship Id="rId497" Type="http://schemas.openxmlformats.org/officeDocument/2006/relationships/hyperlink" Target="https://www.zapopan.gob.mx/wp-content/uploads/2021/03/CO_069_2016_OP.pdf" TargetMode="External"/><Relationship Id="rId12" Type="http://schemas.openxmlformats.org/officeDocument/2006/relationships/hyperlink" Target="https://www.zapopan.gob.mx/repositorio/view/file/o1xkpespsqvx1wzrz6sa/CONTRATO_277-18_Censurado.pdf" TargetMode="External"/><Relationship Id="rId108" Type="http://schemas.openxmlformats.org/officeDocument/2006/relationships/hyperlink" Target="https://www.zapopan.gob.mx/repositorio/view/file/nnm1tgtkcgdz9fdbmvsu/377-2017.pdf" TargetMode="External"/><Relationship Id="rId315" Type="http://schemas.openxmlformats.org/officeDocument/2006/relationships/hyperlink" Target="https://www.zapopan.gob.mx/repositorio/view/file/pdm4isnh9ybimfs5ccig/219-2016.pdf" TargetMode="External"/><Relationship Id="rId357" Type="http://schemas.openxmlformats.org/officeDocument/2006/relationships/hyperlink" Target="https://www.zapopan.gob.mx/repositorio/view/file/3jofzynnugksyaci7i7p/088-2016.pdf" TargetMode="External"/><Relationship Id="rId54" Type="http://schemas.openxmlformats.org/officeDocument/2006/relationships/hyperlink" Target="https://www.zapopan.gob.mx/repositorio/view/file/4zxlfydjglzrkm9qactx/CONTRATO%20137-2018-CENSURADO.pdf" TargetMode="External"/><Relationship Id="rId96" Type="http://schemas.openxmlformats.org/officeDocument/2006/relationships/hyperlink" Target="https://www.zapopan.gob.mx/repositorio/view/file/geiwgsdtwt5khv6bxgqu/CONTRATO_010-18_Censurado.pdf" TargetMode="External"/><Relationship Id="rId161" Type="http://schemas.openxmlformats.org/officeDocument/2006/relationships/hyperlink" Target="http://www.zapopan.gob.mx/wp-content/uploads/2017/09/03_16.pdf" TargetMode="External"/><Relationship Id="rId217" Type="http://schemas.openxmlformats.org/officeDocument/2006/relationships/hyperlink" Target="https://www.zapopan.gob.mx/repositorio/view/file/xkceqaasuixdayd42fdu/CONTRATO_081-18_Censurado.pdf" TargetMode="External"/><Relationship Id="rId399" Type="http://schemas.openxmlformats.org/officeDocument/2006/relationships/hyperlink" Target="https://www.zapopan.gob.mx/repositorio/view/file/glqkkov0xudyfs8mzqvh/CONTRATO_122-17_Censurado.pdf" TargetMode="External"/><Relationship Id="rId259" Type="http://schemas.openxmlformats.org/officeDocument/2006/relationships/hyperlink" Target="https://www.zapopan.gob.mx/repositorio/view/file/pbfdfxcokgrev9yxmsjv/CONTRATO_275-18_Censurado.pdf" TargetMode="External"/><Relationship Id="rId424" Type="http://schemas.openxmlformats.org/officeDocument/2006/relationships/hyperlink" Target="https://www.zapopan.gob.mx/repositorio/view/file/ko97kelyftpurqfc1kza/056-2017.pdf" TargetMode="External"/><Relationship Id="rId466" Type="http://schemas.openxmlformats.org/officeDocument/2006/relationships/hyperlink" Target="https://www.zapopan.gob.mx/repositorio/view/file/u2pwdmnsticeq7a7fpqa/338-2017.pdf" TargetMode="External"/><Relationship Id="rId23" Type="http://schemas.openxmlformats.org/officeDocument/2006/relationships/hyperlink" Target="https://www.zapopan.gob.mx/repositorio/view/file/z731rpjj0m1xb1nqs647/CONTRATO_213-18_Censurado.pdf" TargetMode="External"/><Relationship Id="rId119" Type="http://schemas.openxmlformats.org/officeDocument/2006/relationships/hyperlink" Target="https://www.zapopan.gob.mx/repositorio/view/file/gikyyzyhgvrg9nkxuoh2/203-2016.pdf" TargetMode="External"/><Relationship Id="rId270" Type="http://schemas.openxmlformats.org/officeDocument/2006/relationships/hyperlink" Target="https://www.zapopan.gob.mx/repositorio/view/file/0z1pifvehwxpwssv2sju/056-2016.pdf" TargetMode="External"/><Relationship Id="rId326" Type="http://schemas.openxmlformats.org/officeDocument/2006/relationships/hyperlink" Target="https://www.zapopan.gob.mx/repositorio/view/file/wofqkfn6nirlyf2bgv9s/252-2016.pdf" TargetMode="External"/><Relationship Id="rId65" Type="http://schemas.openxmlformats.org/officeDocument/2006/relationships/hyperlink" Target="https://www.zapopan.gob.mx/repositorio/view/file/cgwmvzhx8dngcgc4nc8e/CONTRATO_125-18_Censurado.pdf" TargetMode="External"/><Relationship Id="rId130" Type="http://schemas.openxmlformats.org/officeDocument/2006/relationships/hyperlink" Target="https://www.zapopan.gob.mx/repositorio/view/file/vbxzifk53ha0sphygvfl/261-2016.pdf" TargetMode="External"/><Relationship Id="rId368" Type="http://schemas.openxmlformats.org/officeDocument/2006/relationships/hyperlink" Target="https://www.zapopan.gob.mx/repositorio/view/file/a0zocqieu8rwlsi7b2zo/114-2016.pdf" TargetMode="External"/><Relationship Id="rId172" Type="http://schemas.openxmlformats.org/officeDocument/2006/relationships/hyperlink" Target="https://www.zapopan.gob.mx/repositorio/view/file/giwvosuizvbxbseustwu/CONTRATO_028-18_Censurado.pdf" TargetMode="External"/><Relationship Id="rId228" Type="http://schemas.openxmlformats.org/officeDocument/2006/relationships/hyperlink" Target="https://www.zapopan.gob.mx/repositorio/view/file/hsomsvct22u3sz7p3twx/CONTRATO_94-18_Censurado.pdf" TargetMode="External"/><Relationship Id="rId435" Type="http://schemas.openxmlformats.org/officeDocument/2006/relationships/hyperlink" Target="https://www.zapopan.gob.mx/repositorio/view/file/lbeb1un6ynhtzjkwapim/133-2017.pdf" TargetMode="External"/><Relationship Id="rId477" Type="http://schemas.openxmlformats.org/officeDocument/2006/relationships/hyperlink" Target="https://www.zapopan.gob.mx/repositorio/view/file/wzzrcrpagkblctb3dmas/CONTRATO_378-17_Censurado.pdf" TargetMode="External"/><Relationship Id="rId281" Type="http://schemas.openxmlformats.org/officeDocument/2006/relationships/hyperlink" Target="https://www.zapopan.gob.mx/repositorio/view/file/bnfrzncekmalbjxlglec/CONTRATO_179-16_Censurado.pdf" TargetMode="External"/><Relationship Id="rId337" Type="http://schemas.openxmlformats.org/officeDocument/2006/relationships/hyperlink" Target="https://www.zapopan.gob.mx/repositorio/view/file/bqqjglqljxs5cnslywxl/264-2016.pdf" TargetMode="External"/><Relationship Id="rId502" Type="http://schemas.openxmlformats.org/officeDocument/2006/relationships/hyperlink" Target="https://www.zapopan.gob.mx/wp-content/uploads/2021/05/Contrato_143_2016_VP.pdf" TargetMode="External"/><Relationship Id="rId34" Type="http://schemas.openxmlformats.org/officeDocument/2006/relationships/hyperlink" Target="https://www.zapopan.gob.mx/repositorio/view/file/nudjxhnbqkhe6yolc29t/CONTRATO%20AD%20178%202018_Redacted.pdf" TargetMode="External"/><Relationship Id="rId76" Type="http://schemas.openxmlformats.org/officeDocument/2006/relationships/hyperlink" Target="https://www.zapopan.gob.mx/repositorio/view/file/yk8o45kw3sufji71lv6t/CONTRATO_114-18_Censurado.pdf" TargetMode="External"/><Relationship Id="rId141" Type="http://schemas.openxmlformats.org/officeDocument/2006/relationships/hyperlink" Target="https://www.zapopan.gob.mx/repositorio/view/file/j7znfp959xb1it2ci9nh/156-2016.pdf" TargetMode="External"/><Relationship Id="rId379" Type="http://schemas.openxmlformats.org/officeDocument/2006/relationships/hyperlink" Target="https://www.zapopan.gob.mx/repositorio/view/file/sm42srvyhk9oabznau1n/205-2016.pdf" TargetMode="External"/><Relationship Id="rId7" Type="http://schemas.openxmlformats.org/officeDocument/2006/relationships/hyperlink" Target="https://www.zapopan.gob.mx/repositorio/view/file/uc8ebn1c7ra5d8vyjhrw/CONTRATO_283-18_Censurado.pdf" TargetMode="External"/><Relationship Id="rId183" Type="http://schemas.openxmlformats.org/officeDocument/2006/relationships/hyperlink" Target="https://www.zapopan.gob.mx/repositorio/view/file/a38yljl7ggeldwbg5hbq/CONTRATO_040-18_Censurado.pdf" TargetMode="External"/><Relationship Id="rId239" Type="http://schemas.openxmlformats.org/officeDocument/2006/relationships/hyperlink" Target="https://www.zapopan.gob.mx/repositorio/view/file/i2sle2tput70wvuafvgi/CONTRATO%20149-2018-CENSURADO.pdf" TargetMode="External"/><Relationship Id="rId390" Type="http://schemas.openxmlformats.org/officeDocument/2006/relationships/hyperlink" Target="https://www.zapopan.gob.mx/repositorio/view/file/c7i8um9x0vsabvoih5en/CONTRATO_276-17_Censurado.pdf" TargetMode="External"/><Relationship Id="rId404" Type="http://schemas.openxmlformats.org/officeDocument/2006/relationships/hyperlink" Target="https://www.zapopan.gob.mx/repositorio/view/file/tmzsmjdbqmkgytrd59qp/CONTRATO_005-17_Censurado.pdf" TargetMode="External"/><Relationship Id="rId446" Type="http://schemas.openxmlformats.org/officeDocument/2006/relationships/hyperlink" Target="https://www.zapopan.gob.mx/repositorio/view/file/hjt6fvu9t0rijjcbo4ov/CONTRATO_370-17_Censurado.pdf" TargetMode="External"/><Relationship Id="rId250" Type="http://schemas.openxmlformats.org/officeDocument/2006/relationships/hyperlink" Target="https://www.zapopan.gob.mx/repositorio/view/file/glgv2ezo0fpca95baonj/CONTRATO_202-18_Censurado.pdf" TargetMode="External"/><Relationship Id="rId292" Type="http://schemas.openxmlformats.org/officeDocument/2006/relationships/hyperlink" Target="https://www.zapopan.gob.mx/repositorio/view/file/bcq4v4whd2hbctuaszsl/CONTRATO_198-16_Censurado.pdf" TargetMode="External"/><Relationship Id="rId306" Type="http://schemas.openxmlformats.org/officeDocument/2006/relationships/hyperlink" Target="https://www.zapopan.gob.mx/repositorio/view/file/jtgknoklljdnumlm1bfx/162-2016.pdf" TargetMode="External"/><Relationship Id="rId488" Type="http://schemas.openxmlformats.org/officeDocument/2006/relationships/hyperlink" Target="https://www.zapopan.gob.mx/wp-content/uploads/2019/12/CO_250_16_OP.pdf" TargetMode="External"/><Relationship Id="rId45" Type="http://schemas.openxmlformats.org/officeDocument/2006/relationships/hyperlink" Target="https://www.zapopan.gob.mx/repositorio/view/file/nihwbg0gpnszp2cec0ck/CONTRATO%20155-2018_Censurado.pdf" TargetMode="External"/><Relationship Id="rId87" Type="http://schemas.openxmlformats.org/officeDocument/2006/relationships/hyperlink" Target="https://www.zapopan.gob.mx/repositorio/view/file/0oitp2rxhb21vwx6q5nf/CONTRATO_019_18_Censurado.pdf" TargetMode="External"/><Relationship Id="rId110" Type="http://schemas.openxmlformats.org/officeDocument/2006/relationships/hyperlink" Target="https://www.zapopan.gob.mx/repositorio/view/file/i3gc6qrg91o43kqqvz3v/241-2017.pdf" TargetMode="External"/><Relationship Id="rId348" Type="http://schemas.openxmlformats.org/officeDocument/2006/relationships/hyperlink" Target="https://www.zapopan.gob.mx/repositorio/view/file/bchn8my7ltbhopt2zpjq/282-2016.pdf" TargetMode="External"/><Relationship Id="rId152" Type="http://schemas.openxmlformats.org/officeDocument/2006/relationships/hyperlink" Target="http://www.zapopan.gob.mx/wp-content/uploads/2017/06/DOPI_105_2016.pdf" TargetMode="External"/><Relationship Id="rId173" Type="http://schemas.openxmlformats.org/officeDocument/2006/relationships/hyperlink" Target="https://www.zapopan.gob.mx/repositorio/view/file/uwycinlcukk66lfoikix/CONTRATO_029-18_Censurado.pdf" TargetMode="External"/><Relationship Id="rId194" Type="http://schemas.openxmlformats.org/officeDocument/2006/relationships/hyperlink" Target="https://www.zapopan.gob.mx/repositorio/view/file/adj0paxjrckzxmitfbf4/CONTRATO_054-18_Censurado%20(2).pdf" TargetMode="External"/><Relationship Id="rId208" Type="http://schemas.openxmlformats.org/officeDocument/2006/relationships/hyperlink" Target="https://www.zapopan.gob.mx/repositorio/view/file/5dyplifamjvnprzxdxh5/CONTRATO%20071-2018-CENSURADO.pdf" TargetMode="External"/><Relationship Id="rId229" Type="http://schemas.openxmlformats.org/officeDocument/2006/relationships/hyperlink" Target="https://www.zapopan.gob.mx/repositorio/view/file/o3ei6yatet28doardmxj/CONTRATO%20095%202018_Censurado.pdf" TargetMode="External"/><Relationship Id="rId380" Type="http://schemas.openxmlformats.org/officeDocument/2006/relationships/hyperlink" Target="https://www.zapopan.gob.mx/repositorio/view/file/xojuemn6dmwtgn3tv1wd/CONTRATO_254-17_Censurado.pdf" TargetMode="External"/><Relationship Id="rId415" Type="http://schemas.openxmlformats.org/officeDocument/2006/relationships/hyperlink" Target="https://www.zapopan.gob.mx/repositorio/view/file/x6c6uakulfkwvlyhm5vu/323-2017.pdf" TargetMode="External"/><Relationship Id="rId436" Type="http://schemas.openxmlformats.org/officeDocument/2006/relationships/hyperlink" Target="https://www.zapopan.gob.mx/repositorio/view/file/w8jtmme1xl62di0cdsfr/230-2017.pdf" TargetMode="External"/><Relationship Id="rId457" Type="http://schemas.openxmlformats.org/officeDocument/2006/relationships/hyperlink" Target="https://www.zapopan.gob.mx/repositorio/view/file/jmobleizpxib9pmforgi/139-2017.pdf" TargetMode="External"/><Relationship Id="rId240" Type="http://schemas.openxmlformats.org/officeDocument/2006/relationships/hyperlink" Target="https://www.zapopan.gob.mx/repositorio/view/file/zwbsmssjow5caemzgibm/CONTRATO%20150-2018-CENSURADO.pdf" TargetMode="External"/><Relationship Id="rId261" Type="http://schemas.openxmlformats.org/officeDocument/2006/relationships/hyperlink" Target="https://www.zapopan.gob.mx/wp-content/uploads/2019/08/CONTRATO_055-18_Censurado.pdf" TargetMode="External"/><Relationship Id="rId478" Type="http://schemas.openxmlformats.org/officeDocument/2006/relationships/hyperlink" Target="https://www.zapopan.gob.mx/repositorio/view/file/pn41xuohfpqxwstdhli8/071-2017.pdf" TargetMode="External"/><Relationship Id="rId499" Type="http://schemas.openxmlformats.org/officeDocument/2006/relationships/hyperlink" Target="https://www.zapopan.gob.mx/wp-content/uploads/2021/05/Contrato_042_2016_VP.pdf" TargetMode="External"/><Relationship Id="rId14" Type="http://schemas.openxmlformats.org/officeDocument/2006/relationships/hyperlink" Target="https://www.zapopan.gob.mx/repositorio/view/file/vubbjvcyndue4cikrnbp/CONTRATO_235-18_Censurado.pdf" TargetMode="External"/><Relationship Id="rId35" Type="http://schemas.openxmlformats.org/officeDocument/2006/relationships/hyperlink" Target="https://www.zapopan.gob.mx/repositorio/view/file/0jxktd26blguhyob5xbw/CONTRATO%20167-2018_Censurado.pdf" TargetMode="External"/><Relationship Id="rId56" Type="http://schemas.openxmlformats.org/officeDocument/2006/relationships/hyperlink" Target="https://www.zapopan.gob.mx/repositorio/view/file/r9bejveko8hinnewtz6n/CONTRATO_135-18_Censurado.pdf" TargetMode="External"/><Relationship Id="rId77" Type="http://schemas.openxmlformats.org/officeDocument/2006/relationships/hyperlink" Target="https://www.zapopan.gob.mx/repositorio/view/file/jpzoslgpyuqxzal4ydeu/CONTRATO_113-18_Censurado.pdf" TargetMode="External"/><Relationship Id="rId100" Type="http://schemas.openxmlformats.org/officeDocument/2006/relationships/hyperlink" Target="https://www.zapopan.gob.mx/repositorio/view/file/o1chjhsidtuarajkj0ty/CONTRATO_006-18_Censurado.pdf" TargetMode="External"/><Relationship Id="rId282" Type="http://schemas.openxmlformats.org/officeDocument/2006/relationships/hyperlink" Target="https://www.zapopan.gob.mx/repositorio/view/file/zusbvht3wxvekgper76b/CONTRATO_180-16_Censurado.pdf" TargetMode="External"/><Relationship Id="rId317" Type="http://schemas.openxmlformats.org/officeDocument/2006/relationships/hyperlink" Target="https://www.zapopan.gob.mx/repositorio/view/file/jbbfiz21cz4l313531of/234-2016.pdf" TargetMode="External"/><Relationship Id="rId338" Type="http://schemas.openxmlformats.org/officeDocument/2006/relationships/hyperlink" Target="https://www.zapopan.gob.mx/repositorio/view/file/r71zmrbuhpzy4jwluhan/266-2016.pdf" TargetMode="External"/><Relationship Id="rId359" Type="http://schemas.openxmlformats.org/officeDocument/2006/relationships/hyperlink" Target="https://www.zapopan.gob.mx/repositorio/view/file/qyelektu3i0fnztoole8/091-2016.pdf" TargetMode="External"/><Relationship Id="rId503" Type="http://schemas.openxmlformats.org/officeDocument/2006/relationships/hyperlink" Target="https://www.zapopan.gob.mx/wp-content/uploads/2021/05/Contrato_188_2016_VP.pdf" TargetMode="External"/><Relationship Id="rId8" Type="http://schemas.openxmlformats.org/officeDocument/2006/relationships/hyperlink" Target="https://www.zapopan.gob.mx/repositorio/view/file/t9hcks0tvxrsee18bnnk/CONTRATO_282-18_Censurado.pdf" TargetMode="External"/><Relationship Id="rId98" Type="http://schemas.openxmlformats.org/officeDocument/2006/relationships/hyperlink" Target="https://www.zapopan.gob.mx/repositorio/view/file/uds7vpggojmn3pl0topi/CONTRATO_008-18_Censurado.pdf" TargetMode="External"/><Relationship Id="rId121" Type="http://schemas.openxmlformats.org/officeDocument/2006/relationships/hyperlink" Target="https://www.zapopan.gob.mx/repositorio/view/file/flvjdtq7tf9dccik3hsn/200-2016.pdf" TargetMode="External"/><Relationship Id="rId142" Type="http://schemas.openxmlformats.org/officeDocument/2006/relationships/hyperlink" Target="https://www.zapopan.gob.mx/repositorio/view/file/og0jldibtbr4ynzsf0vr/155-2016.pdf" TargetMode="External"/><Relationship Id="rId163" Type="http://schemas.openxmlformats.org/officeDocument/2006/relationships/hyperlink" Target="http://www.zapopan.gob.mx/wp-content/uploads/2017/09/076-17.pdf" TargetMode="External"/><Relationship Id="rId184" Type="http://schemas.openxmlformats.org/officeDocument/2006/relationships/hyperlink" Target="https://www.zapopan.gob.mx/repositorio/view/file/vbdhypf0bmy4xfivtoem/CONTRATO_041-18_Censurado.pdf" TargetMode="External"/><Relationship Id="rId219" Type="http://schemas.openxmlformats.org/officeDocument/2006/relationships/hyperlink" Target="https://www.zapopan.gob.mx/repositorio/view/file/ur8qjgfp9xtsoweyfzi8/CONTRATO_083-18_Censurado.pdf" TargetMode="External"/><Relationship Id="rId370" Type="http://schemas.openxmlformats.org/officeDocument/2006/relationships/hyperlink" Target="https://www.zapopan.gob.mx/repositorio/view/file/hiyypccahz0hkroace6v/116-2016.pdf" TargetMode="External"/><Relationship Id="rId391" Type="http://schemas.openxmlformats.org/officeDocument/2006/relationships/hyperlink" Target="https://www.zapopan.gob.mx/repositorio/view/file/gocfumkih6ekqphdfpbo/CONTRATO_351-17_Censurado.pdf" TargetMode="External"/><Relationship Id="rId405" Type="http://schemas.openxmlformats.org/officeDocument/2006/relationships/hyperlink" Target="https://www.zapopan.gob.mx/repositorio/view/file/atvugwquk1pdtwa5l3v0/125-2017.pdf" TargetMode="External"/><Relationship Id="rId426" Type="http://schemas.openxmlformats.org/officeDocument/2006/relationships/hyperlink" Target="https://www.zapopan.gob.mx/repositorio/view/file/motzbmjrgwnduw0ckgxs/131-2017.pdf" TargetMode="External"/><Relationship Id="rId447" Type="http://schemas.openxmlformats.org/officeDocument/2006/relationships/hyperlink" Target="https://www.zapopan.gob.mx/repositorio/view/file/pvrc2t0bghfolc2kan7x/061-2017.pdf" TargetMode="External"/><Relationship Id="rId230" Type="http://schemas.openxmlformats.org/officeDocument/2006/relationships/hyperlink" Target="https://www.zapopan.gob.mx/repositorio/view/file/1bi8lf26ksazbui8gm02/CONTRATO_096-18_Censurado.pdf" TargetMode="External"/><Relationship Id="rId251" Type="http://schemas.openxmlformats.org/officeDocument/2006/relationships/hyperlink" Target="https://www.zapopan.gob.mx/repositorio/view/file/lnx8v1iomttmwdubweaw/Contrato_203-18_Censurado.pdf" TargetMode="External"/><Relationship Id="rId468" Type="http://schemas.openxmlformats.org/officeDocument/2006/relationships/hyperlink" Target="https://www.zapopan.gob.mx/repositorio/view/file/grksovga9zrx3c4l8145/CONTRATO_375-17_Censurado.pdf" TargetMode="External"/><Relationship Id="rId489" Type="http://schemas.openxmlformats.org/officeDocument/2006/relationships/hyperlink" Target="https://www.zapopan.gob.mx/wp-content/uploads/2021/03/CO_230_2015_OP.pdf" TargetMode="External"/><Relationship Id="rId25" Type="http://schemas.openxmlformats.org/officeDocument/2006/relationships/hyperlink" Target="https://www.zapopan.gob.mx/repositorio/view/file/jrm8cq3ukodgkmatuzxf/CONTRATO_210-18_Censurado.pdf" TargetMode="External"/><Relationship Id="rId46" Type="http://schemas.openxmlformats.org/officeDocument/2006/relationships/hyperlink" Target="https://www.zapopan.gob.mx/repositorio/view/file/finpbmbtwlwjhqgbjkt0/CONTRATO%20154-2018_Censurado.pdf" TargetMode="External"/><Relationship Id="rId67" Type="http://schemas.openxmlformats.org/officeDocument/2006/relationships/hyperlink" Target="https://www.zapopan.gob.mx/repositorio/view/file/lo10ubw1xs4hcwfkaly2/CONTRATO%20123-2018_Censurado.pdf" TargetMode="External"/><Relationship Id="rId272" Type="http://schemas.openxmlformats.org/officeDocument/2006/relationships/hyperlink" Target="https://www.zapopan.gob.mx/repositorio/view/file/xeuzdvidajsuqajgf6yb/CONTRATO%20(089-2016)%20CECUCHI.pdf" TargetMode="External"/><Relationship Id="rId293" Type="http://schemas.openxmlformats.org/officeDocument/2006/relationships/hyperlink" Target="https://www.zapopan.gob.mx/repositorio/view/file/fej9ee8t6y8bxcylqhlj/CONTRATO_199-16_Censurado.pdf" TargetMode="External"/><Relationship Id="rId307" Type="http://schemas.openxmlformats.org/officeDocument/2006/relationships/hyperlink" Target="https://www.zapopan.gob.mx/repositorio/view/file/ismoxqh1xchsgbkqa0tp/164-2016.pdf" TargetMode="External"/><Relationship Id="rId328" Type="http://schemas.openxmlformats.org/officeDocument/2006/relationships/hyperlink" Target="https://www.zapopan.gob.mx/repositorio/view/file/tnxvkei7ov1lucrltjkt/254-2016.pdf" TargetMode="External"/><Relationship Id="rId349" Type="http://schemas.openxmlformats.org/officeDocument/2006/relationships/hyperlink" Target="https://www.zapopan.gob.mx/repositorio/view/file/wikyazbzcumtvmubpcns/283-2016.pdf" TargetMode="External"/><Relationship Id="rId88" Type="http://schemas.openxmlformats.org/officeDocument/2006/relationships/hyperlink" Target="https://www.zapopan.gob.mx/repositorio/view/file/r6ubassqz0ku008tt2td/CONTRATO%20018-2018_Censurado.pdf" TargetMode="External"/><Relationship Id="rId111" Type="http://schemas.openxmlformats.org/officeDocument/2006/relationships/hyperlink" Target="https://www.zapopan.gob.mx/repositorio/view/file/8k7jx78bscjh694l3zbu/240-2017.pdf" TargetMode="External"/><Relationship Id="rId132" Type="http://schemas.openxmlformats.org/officeDocument/2006/relationships/hyperlink" Target="https://www.zapopan.gob.mx/repositorio/view/file/dceabvtfidihbqcmbkb0/231-2016.pdf" TargetMode="External"/><Relationship Id="rId153" Type="http://schemas.openxmlformats.org/officeDocument/2006/relationships/hyperlink" Target="http://www.zapopan.gob.mx/wp-content/uploads/2017/05/Contrato_064_2016.pdf" TargetMode="External"/><Relationship Id="rId174" Type="http://schemas.openxmlformats.org/officeDocument/2006/relationships/hyperlink" Target="https://www.zapopan.gob.mx/repositorio/view/file/cdhc0kazgmk7jb21j9wy/CONTRATO_030-18_Censurado.pdf" TargetMode="External"/><Relationship Id="rId195" Type="http://schemas.openxmlformats.org/officeDocument/2006/relationships/hyperlink" Target="https://www.zapopan.gob.mx/repositorio/view/file/9gxselxg4h7dhkacovry/CONTRATO_056-18_Censurado.pdf" TargetMode="External"/><Relationship Id="rId209" Type="http://schemas.openxmlformats.org/officeDocument/2006/relationships/hyperlink" Target="https://www.zapopan.gob.mx/repositorio/view/file/4mcrozpwbj7mrgsxbdvg/CONTRATO%20072-2018-CENSURADO.pdf" TargetMode="External"/><Relationship Id="rId360" Type="http://schemas.openxmlformats.org/officeDocument/2006/relationships/hyperlink" Target="https://www.zapopan.gob.mx/repositorio/view/file/gsdj5oslpgfzaqx9vtat/093-2016.pdf" TargetMode="External"/><Relationship Id="rId381" Type="http://schemas.openxmlformats.org/officeDocument/2006/relationships/hyperlink" Target="https://www.zapopan.gob.mx/repositorio/view/file/ffmxb3aowmotrmhnzo6p/075-2017.pdf" TargetMode="External"/><Relationship Id="rId416" Type="http://schemas.openxmlformats.org/officeDocument/2006/relationships/hyperlink" Target="https://www.zapopan.gob.mx/repositorio/view/file/xz9ob8taxyrtolrv2sfq/CONTRATO_358-17_Censurado.pdf" TargetMode="External"/><Relationship Id="rId220" Type="http://schemas.openxmlformats.org/officeDocument/2006/relationships/hyperlink" Target="https://www.zapopan.gob.mx/repositorio/view/file/vgaf7bugejmxlrm9thu1/CONTRATO_084-18_Censurado.pdf" TargetMode="External"/><Relationship Id="rId241" Type="http://schemas.openxmlformats.org/officeDocument/2006/relationships/hyperlink" Target="https://www.zapopan.gob.mx/repositorio/view/file/jirlojtddyd6gpbzngs8/Contrato_192-18_Censurado.pdf" TargetMode="External"/><Relationship Id="rId437" Type="http://schemas.openxmlformats.org/officeDocument/2006/relationships/hyperlink" Target="https://www.zapopan.gob.mx/repositorio/view/file/t3psxbcmyjzupklqgghl/231-2017.pdf" TargetMode="External"/><Relationship Id="rId458" Type="http://schemas.openxmlformats.org/officeDocument/2006/relationships/hyperlink" Target="https://www.zapopan.gob.mx/repositorio/view/file/m95xuxv1jf9d0paluihn/CONTRATO_336-17_Censurado.pdf" TargetMode="External"/><Relationship Id="rId479" Type="http://schemas.openxmlformats.org/officeDocument/2006/relationships/hyperlink" Target="https://www.zapopan.gob.mx/repositorio/view/file/t51qhezqxeuvckyh1tma/CONTRATO_072-17_Censurado.pdf" TargetMode="External"/><Relationship Id="rId15" Type="http://schemas.openxmlformats.org/officeDocument/2006/relationships/hyperlink" Target="https://www.zapopan.gob.mx/repositorio/view/file/kl1dhanehko3ijedez0w/CONTRATO_230-18_Censurado.pdf" TargetMode="External"/><Relationship Id="rId36" Type="http://schemas.openxmlformats.org/officeDocument/2006/relationships/hyperlink" Target="https://www.zapopan.gob.mx/repositorio/view/file/xzfopjrmgsro1ys7ezko/CONTRATO%20166-2018_Censurado.pdf" TargetMode="External"/><Relationship Id="rId57" Type="http://schemas.openxmlformats.org/officeDocument/2006/relationships/hyperlink" Target="https://www.zapopan.gob.mx/repositorio/view/file/yua2fcz1mqhlesdx2cxk/CONTRATO_134-18_Censurado.pdf" TargetMode="External"/><Relationship Id="rId262" Type="http://schemas.openxmlformats.org/officeDocument/2006/relationships/hyperlink" Target="https://www.zapopan.gob.mx/wp-content/uploads/2019/08/CONTRATO_274-18_Censurado.pdf" TargetMode="External"/><Relationship Id="rId283" Type="http://schemas.openxmlformats.org/officeDocument/2006/relationships/hyperlink" Target="https://www.zapopan.gob.mx/repositorio/view/file/lolhuex7xttxkcnvlutx/CONTRATO_183-16_Censurado.pdf" TargetMode="External"/><Relationship Id="rId318" Type="http://schemas.openxmlformats.org/officeDocument/2006/relationships/hyperlink" Target="https://www.zapopan.gob.mx/repositorio/view/file/3dtct7wlvtmigwrzaexj/235-2016.pdf" TargetMode="External"/><Relationship Id="rId339" Type="http://schemas.openxmlformats.org/officeDocument/2006/relationships/hyperlink" Target="https://www.zapopan.gob.mx/repositorio/view/file/0rwr9jfm6wrfz0jnr91n/267-2016.pdf" TargetMode="External"/><Relationship Id="rId490" Type="http://schemas.openxmlformats.org/officeDocument/2006/relationships/hyperlink" Target="https://www.zapopan.gob.mx/wp-content/uploads/2021/03/CO_236_2015_OP.pdf" TargetMode="External"/><Relationship Id="rId504" Type="http://schemas.openxmlformats.org/officeDocument/2006/relationships/hyperlink" Target="https://www.zapopan.gob.mx/wp-content/uploads/2021/05/Contrato_239_2016_VP.pdf" TargetMode="External"/><Relationship Id="rId78" Type="http://schemas.openxmlformats.org/officeDocument/2006/relationships/hyperlink" Target="https://www.zapopan.gob.mx/repositorio/view/file/tghfmrrv3o7bzjpe2qzd/CONTRATO_112-18_Censurado.pdf" TargetMode="External"/><Relationship Id="rId99" Type="http://schemas.openxmlformats.org/officeDocument/2006/relationships/hyperlink" Target="https://www.zapopan.gob.mx/repositorio/view/file/qmqxgcynwia2zgjjmytz/CONTRATO_007-18_Censurado.pdf" TargetMode="External"/><Relationship Id="rId101" Type="http://schemas.openxmlformats.org/officeDocument/2006/relationships/hyperlink" Target="https://www.zapopan.gob.mx/repositorio/view/file/pnpwdmpcpw9nts9h8tb7/CONTRATO%20005-2018_Censurado.pdf" TargetMode="External"/><Relationship Id="rId122" Type="http://schemas.openxmlformats.org/officeDocument/2006/relationships/hyperlink" Target="https://www.zapopan.gob.mx/repositorio/view/file/14imx0wmyrstappinjo8/157-2016.pdf" TargetMode="External"/><Relationship Id="rId143" Type="http://schemas.openxmlformats.org/officeDocument/2006/relationships/hyperlink" Target="https://www.zapopan.gob.mx/repositorio/view/file/lc1wweh1rg8uyqm58cxz/149-2016.pdf" TargetMode="External"/><Relationship Id="rId164" Type="http://schemas.openxmlformats.org/officeDocument/2006/relationships/hyperlink" Target="http://www.zapopan.gob.mx/wp-content/uploads/2017/05/Contrato_024_2016.pdf" TargetMode="External"/><Relationship Id="rId185" Type="http://schemas.openxmlformats.org/officeDocument/2006/relationships/hyperlink" Target="https://www.zapopan.gob.mx/repositorio/view/file/ojgnagcfblh4ww2z38wj/CONTRATO_042-18_Censurado.pdf" TargetMode="External"/><Relationship Id="rId350" Type="http://schemas.openxmlformats.org/officeDocument/2006/relationships/hyperlink" Target="https://www.zapopan.gob.mx/repositorio/view/file/xulowotvbfhupqrvrh4j/050-2016.pdf" TargetMode="External"/><Relationship Id="rId371" Type="http://schemas.openxmlformats.org/officeDocument/2006/relationships/hyperlink" Target="https://www.zapopan.gob.mx/repositorio/view/file/tj73dihqupj7pq1ze9tl/117-2016.pdf" TargetMode="External"/><Relationship Id="rId406" Type="http://schemas.openxmlformats.org/officeDocument/2006/relationships/hyperlink" Target="https://www.zapopan.gob.mx/repositorio/view/file/t6ex7npqzkhylz7ohaja/209-2017.pdf" TargetMode="External"/><Relationship Id="rId9" Type="http://schemas.openxmlformats.org/officeDocument/2006/relationships/hyperlink" Target="https://www.zapopan.gob.mx/repositorio/view/file/gjsydmayaawvj399gzn2/CONTRATO_281-18_Censurado.pdf" TargetMode="External"/><Relationship Id="rId210" Type="http://schemas.openxmlformats.org/officeDocument/2006/relationships/hyperlink" Target="https://www.zapopan.gob.mx/repositorio/view/file/yctsaeeftvhodmuph9f5/CONTRATO%20074-2018-CENSURADO.pdf" TargetMode="External"/><Relationship Id="rId392" Type="http://schemas.openxmlformats.org/officeDocument/2006/relationships/hyperlink" Target="https://www.zapopan.gob.mx/repositorio/view/file/jfj9ydeohfvt0kfmudfu/CONTRATO_035-17_Censurado.pdf" TargetMode="External"/><Relationship Id="rId427" Type="http://schemas.openxmlformats.org/officeDocument/2006/relationships/hyperlink" Target="https://www.zapopan.gob.mx/repositorio/view/file/jhakpeuxzc9lcidtbyvz/215-2017.pdf" TargetMode="External"/><Relationship Id="rId448" Type="http://schemas.openxmlformats.org/officeDocument/2006/relationships/hyperlink" Target="https://www.zapopan.gob.mx/repositorio/view/file/rbssbswjrpbydplent3w/136-2017.pdf" TargetMode="External"/><Relationship Id="rId469" Type="http://schemas.openxmlformats.org/officeDocument/2006/relationships/hyperlink" Target="https://www.zapopan.gob.mx/repositorio/view/file/cascea2uyjck2j3cqhyo/CONTRATO_376-17_Censurado.pdf" TargetMode="External"/><Relationship Id="rId26" Type="http://schemas.openxmlformats.org/officeDocument/2006/relationships/hyperlink" Target="https://www.zapopan.gob.mx/repositorio/view/file/ocainynm9qpujx7v71iq/CONTRATO_208-18_Censurado.pdf" TargetMode="External"/><Relationship Id="rId231" Type="http://schemas.openxmlformats.org/officeDocument/2006/relationships/hyperlink" Target="https://www.zapopan.gob.mx/repositorio/view/file/nzpxqcosx8wxefeim19a/CONTRATO_097-18_Censurado.pdf" TargetMode="External"/><Relationship Id="rId252" Type="http://schemas.openxmlformats.org/officeDocument/2006/relationships/hyperlink" Target="https://www.zapopan.gob.mx/repositorio/view/file/4pud7mytyybxp2wanxvv/CONTRATO_207-18_Censurado.pdf" TargetMode="External"/><Relationship Id="rId273" Type="http://schemas.openxmlformats.org/officeDocument/2006/relationships/hyperlink" Target="https://www.zapopan.gob.mx/repositorio/view/file/3bh61p1urx7bo5icr8pr/CONTRATO%20(092-2016)%20MAYAB.pdf" TargetMode="External"/><Relationship Id="rId294" Type="http://schemas.openxmlformats.org/officeDocument/2006/relationships/hyperlink" Target="https://www.zapopan.gob.mx/repositorio/view/file/ntde4btaaetfqfkv6zzs/CONTRATO_227-16_Censurado.pdf" TargetMode="External"/><Relationship Id="rId308" Type="http://schemas.openxmlformats.org/officeDocument/2006/relationships/hyperlink" Target="https://www.zapopan.gob.mx/repositorio/view/file/w8cirbwef00fnefxzob2/167-2016.pdf" TargetMode="External"/><Relationship Id="rId329" Type="http://schemas.openxmlformats.org/officeDocument/2006/relationships/hyperlink" Target="https://www.zapopan.gob.mx/repositorio/view/file/kg1jw8ptzedetqziexjm/255-2016.pdf" TargetMode="External"/><Relationship Id="rId480" Type="http://schemas.openxmlformats.org/officeDocument/2006/relationships/hyperlink" Target="https://www.zapopan.gob.mx/repositorio/view/file/opaokminvwcbxrdzsr3m/248-2017.pdf" TargetMode="External"/><Relationship Id="rId47" Type="http://schemas.openxmlformats.org/officeDocument/2006/relationships/hyperlink" Target="https://www.zapopan.gob.mx/repositorio/view/file/a5utnf3q07bhv5tavfid/CONTRATO%20153-2018_Censurado.pdf" TargetMode="External"/><Relationship Id="rId68" Type="http://schemas.openxmlformats.org/officeDocument/2006/relationships/hyperlink" Target="https://www.zapopan.gob.mx/repositorio/view/file/t5x66futise8nfqo1hm6/CONTRATO_122-18_Censurado.pdf" TargetMode="External"/><Relationship Id="rId89" Type="http://schemas.openxmlformats.org/officeDocument/2006/relationships/hyperlink" Target="https://www.zapopan.gob.mx/repositorio/view/file/8z5uzcl8to1a2iog3opx/CONTRATO%20017-2018_Censurado.pdf" TargetMode="External"/><Relationship Id="rId112" Type="http://schemas.openxmlformats.org/officeDocument/2006/relationships/hyperlink" Target="https://www.zapopan.gob.mx/repositorio/view/file/uzyp0tjkgy1vvkxhaad4/214-2017.pdf" TargetMode="External"/><Relationship Id="rId133" Type="http://schemas.openxmlformats.org/officeDocument/2006/relationships/hyperlink" Target="https://www.zapopan.gob.mx/repositorio/view/file/qfrmvravtyyb60fek9fz/230-2016.pdf" TargetMode="External"/><Relationship Id="rId154" Type="http://schemas.openxmlformats.org/officeDocument/2006/relationships/hyperlink" Target="http://www.zapopan.gob.mx/wp-content/uploads/2017/05/Contrato_035_2016.pdf" TargetMode="External"/><Relationship Id="rId175" Type="http://schemas.openxmlformats.org/officeDocument/2006/relationships/hyperlink" Target="https://www.zapopan.gob.mx/repositorio/view/file/njox9nzqmmmf5qhvzxny/CONTRATO_031-18_Censurado.pdf" TargetMode="External"/><Relationship Id="rId340" Type="http://schemas.openxmlformats.org/officeDocument/2006/relationships/hyperlink" Target="https://www.zapopan.gob.mx/repositorio/view/file/vwgbofuycaxut3zmh0v1/268-2016.pdf" TargetMode="External"/><Relationship Id="rId361" Type="http://schemas.openxmlformats.org/officeDocument/2006/relationships/hyperlink" Target="https://www.zapopan.gob.mx/repositorio/view/file/mpmayq149o07tbr6rhla/094-2016.pdf" TargetMode="External"/><Relationship Id="rId196" Type="http://schemas.openxmlformats.org/officeDocument/2006/relationships/hyperlink" Target="https://www.zapopan.gob.mx/repositorio/view/file/nwgnuh2enlxkz3aff66w/CONTRATO_057-18_Censurado.pdf" TargetMode="External"/><Relationship Id="rId200" Type="http://schemas.openxmlformats.org/officeDocument/2006/relationships/hyperlink" Target="https://www.zapopan.gob.mx/repositorio/view/file/hzabvydvzs2pxm2fowhx/CONTRATO_061-18_Censurado.pdf" TargetMode="External"/><Relationship Id="rId382" Type="http://schemas.openxmlformats.org/officeDocument/2006/relationships/hyperlink" Target="https://www.zapopan.gob.mx/repositorio/view/file/8r3rwefpsk9hnpxxn8sp/182-2017.pdf" TargetMode="External"/><Relationship Id="rId417" Type="http://schemas.openxmlformats.org/officeDocument/2006/relationships/hyperlink" Target="https://www.zapopan.gob.mx/repositorio/view/file/y8mxqkaanzjjwzvrx6xs/128-2017.pdf" TargetMode="External"/><Relationship Id="rId438" Type="http://schemas.openxmlformats.org/officeDocument/2006/relationships/hyperlink" Target="https://www.zapopan.gob.mx/repositorio/view/file/tlskszzuog2vztq3fnpw/329-2017.pdf" TargetMode="External"/><Relationship Id="rId459" Type="http://schemas.openxmlformats.org/officeDocument/2006/relationships/hyperlink" Target="https://www.zapopan.gob.mx/repositorio/view/file/mbme1tsme0y4e9dzwx5j/CONTRATO_373-17_Censurado.pdf" TargetMode="External"/><Relationship Id="rId16" Type="http://schemas.openxmlformats.org/officeDocument/2006/relationships/hyperlink" Target="https://www.zapopan.gob.mx/repositorio/view/file/xdiisckrvqhkwfcbfey2/CONTRATO_229-18_Censurado.pdf" TargetMode="External"/><Relationship Id="rId221" Type="http://schemas.openxmlformats.org/officeDocument/2006/relationships/hyperlink" Target="https://www.zapopan.gob.mx/repositorio/view/file/taoifzyrzbgqpjkme0im/CONTRATO_085-18_Censurado.pdf" TargetMode="External"/><Relationship Id="rId242" Type="http://schemas.openxmlformats.org/officeDocument/2006/relationships/hyperlink" Target="https://www.zapopan.gob.mx/repositorio/view/file/3rkan1eykn07euughp2q/Contrato_193-18_Censurado.pdf" TargetMode="External"/><Relationship Id="rId263" Type="http://schemas.openxmlformats.org/officeDocument/2006/relationships/hyperlink" Target="http://www.zapopan.gob.mx/wp-content/uploads/2017/09/75_16.pdf" TargetMode="External"/><Relationship Id="rId284" Type="http://schemas.openxmlformats.org/officeDocument/2006/relationships/hyperlink" Target="https://www.zapopan.gob.mx/repositorio/view/file/yysfulvzitankjbtwack/CONTRATO_184-16_Censurado.pdf" TargetMode="External"/><Relationship Id="rId319" Type="http://schemas.openxmlformats.org/officeDocument/2006/relationships/hyperlink" Target="https://www.zapopan.gob.mx/repositorio/view/file/wdnywawmwowggjmfdkem/236-2016.pdf" TargetMode="External"/><Relationship Id="rId470" Type="http://schemas.openxmlformats.org/officeDocument/2006/relationships/hyperlink" Target="https://www.zapopan.gob.mx/repositorio/view/file/ekycey5ri3tfraqkp2yx/069-2017.pdf" TargetMode="External"/><Relationship Id="rId491" Type="http://schemas.openxmlformats.org/officeDocument/2006/relationships/hyperlink" Target="https://www.zapopan.gob.mx/wp-content/uploads/2021/03/CO_237_2015_OP.pdf" TargetMode="External"/><Relationship Id="rId505" Type="http://schemas.openxmlformats.org/officeDocument/2006/relationships/hyperlink" Target="https://www.zapopan.gob.mx/wp-content/uploads/2021/05/Contrato_189_2016_VP-1.pdf" TargetMode="External"/><Relationship Id="rId37" Type="http://schemas.openxmlformats.org/officeDocument/2006/relationships/hyperlink" Target="https://www.zapopan.gob.mx/repositorio/view/file/duqgxeanfkleqjfnvtzj/CONTRATO%20165-2018_Censurado.pdf" TargetMode="External"/><Relationship Id="rId58" Type="http://schemas.openxmlformats.org/officeDocument/2006/relationships/hyperlink" Target="https://www.zapopan.gob.mx/repositorio/view/file/lzke3x672hqahaa2imv8/CONTRATO%20133-2018_Censurado.pdf" TargetMode="External"/><Relationship Id="rId79" Type="http://schemas.openxmlformats.org/officeDocument/2006/relationships/hyperlink" Target="https://www.zapopan.gob.mx/repositorio/view/file/klgmbpyd1kg9derldqjy/CONTRATO_111-18_Censurado.pdf" TargetMode="External"/><Relationship Id="rId102" Type="http://schemas.openxmlformats.org/officeDocument/2006/relationships/hyperlink" Target="https://www.zapopan.gob.mx/repositorio/view/file/4kjijyhoizdyrsujwt5p/CONTRATO%20004-2018_Censurado.pdf" TargetMode="External"/><Relationship Id="rId123" Type="http://schemas.openxmlformats.org/officeDocument/2006/relationships/hyperlink" Target="https://www.zapopan.gob.mx/repositorio/view/file/wuzkgajndnhybaacuiti/150-2016.pdf" TargetMode="External"/><Relationship Id="rId144" Type="http://schemas.openxmlformats.org/officeDocument/2006/relationships/hyperlink" Target="https://www.zapopan.gob.mx/repositorio/view/file/09ilkevkdcobrfzsxomu/148-2016.pdf" TargetMode="External"/><Relationship Id="rId330" Type="http://schemas.openxmlformats.org/officeDocument/2006/relationships/hyperlink" Target="https://www.zapopan.gob.mx/repositorio/view/file/vno5yb09fdwm7gmkekay/256-2016.pdf" TargetMode="External"/><Relationship Id="rId90" Type="http://schemas.openxmlformats.org/officeDocument/2006/relationships/hyperlink" Target="https://www.zapopan.gob.mx/repositorio/view/file/bu4oequ2lnuzj8wmt3rr/CONTRATO%20016-2018_Censurado.pdf" TargetMode="External"/><Relationship Id="rId165" Type="http://schemas.openxmlformats.org/officeDocument/2006/relationships/hyperlink" Target="http://www.zapopan.gob.mx/wp-content/uploads/2017/05/Contrato_007_2016.pdf" TargetMode="External"/><Relationship Id="rId186" Type="http://schemas.openxmlformats.org/officeDocument/2006/relationships/hyperlink" Target="https://www.zapopan.gob.mx/repositorio/view/file/7tc42sofbhmdviwopssc/CONTRATO_043-18_Censurado.pdf" TargetMode="External"/><Relationship Id="rId351" Type="http://schemas.openxmlformats.org/officeDocument/2006/relationships/hyperlink" Target="https://www.zapopan.gob.mx/repositorio/view/file/8rt4dfqb5nxdqthndsmn/062-2016.pdf" TargetMode="External"/><Relationship Id="rId372" Type="http://schemas.openxmlformats.org/officeDocument/2006/relationships/hyperlink" Target="https://www.zapopan.gob.mx/repositorio/view/file/bi4nb4gzhkpoh9qa9bqi/118-2016.pdf" TargetMode="External"/><Relationship Id="rId393" Type="http://schemas.openxmlformats.org/officeDocument/2006/relationships/hyperlink" Target="https://www.zapopan.gob.mx/repositorio/view/file/8lbtu7d9ogfspsl4sczc/CONTRATO_120-17_Censurado.pdf" TargetMode="External"/><Relationship Id="rId407" Type="http://schemas.openxmlformats.org/officeDocument/2006/relationships/hyperlink" Target="https://www.zapopan.gob.mx/repositorio/view/file/bsfs6psojomvdeqjabwe/CONTRATO_356-17_Censurado.pdf" TargetMode="External"/><Relationship Id="rId428" Type="http://schemas.openxmlformats.org/officeDocument/2006/relationships/hyperlink" Target="https://www.zapopan.gob.mx/repositorio/view/file/anuurddubuvkfi2dzsy4/CONTRATO_326-17_Censurado.pdf" TargetMode="External"/><Relationship Id="rId449" Type="http://schemas.openxmlformats.org/officeDocument/2006/relationships/hyperlink" Target="https://www.zapopan.gob.mx/repositorio/view/file/wz6i2dht2gxvgsh9euqs/CONTRATO_137-17_Censurado.pdf" TargetMode="External"/><Relationship Id="rId211" Type="http://schemas.openxmlformats.org/officeDocument/2006/relationships/hyperlink" Target="https://www.zapopan.gob.mx/repositorio/view/file/vb4dljrsohxcfzqkbx85/CONTRATO%20075-2018-CENSURADO.pdf" TargetMode="External"/><Relationship Id="rId232" Type="http://schemas.openxmlformats.org/officeDocument/2006/relationships/hyperlink" Target="https://www.zapopan.gob.mx/repositorio/view/file/z2qfro5vmvl2ttqwiczj/CONTRATO_098-18_Censurado.pdf" TargetMode="External"/><Relationship Id="rId253" Type="http://schemas.openxmlformats.org/officeDocument/2006/relationships/hyperlink" Target="https://www.zapopan.gob.mx/repositorio/view/file/i6vhbnjbz70tq0ppmtr2/CONTRATO_221-18_Censurado.pdf" TargetMode="External"/><Relationship Id="rId274" Type="http://schemas.openxmlformats.org/officeDocument/2006/relationships/hyperlink" Target="https://www.zapopan.gob.mx/repositorio/view/file/985nabeeefmewj1kqkoa/095-2016.pdf" TargetMode="External"/><Relationship Id="rId295" Type="http://schemas.openxmlformats.org/officeDocument/2006/relationships/hyperlink" Target="https://www.zapopan.gob.mx/repositorio/view/file/pkmmalqbx84m8smxtc2h/274-2017.pdf" TargetMode="External"/><Relationship Id="rId309" Type="http://schemas.openxmlformats.org/officeDocument/2006/relationships/hyperlink" Target="https://www.zapopan.gob.mx/repositorio/view/file/inpiuc4lamyxt4jpunbh/168-2016.pdf" TargetMode="External"/><Relationship Id="rId460" Type="http://schemas.openxmlformats.org/officeDocument/2006/relationships/hyperlink" Target="https://www.zapopan.gob.mx/repositorio/view/file/wjvrh289pdyzsc0iejic/CONTRATO_374-17_Censurado.pdf" TargetMode="External"/><Relationship Id="rId481" Type="http://schemas.openxmlformats.org/officeDocument/2006/relationships/hyperlink" Target="https://www.zapopan.gob.mx/repositorio/view/file/3hbqyd3bmwxbzvakifo5/CONTRATO_343-17_Censurado.pdf" TargetMode="External"/><Relationship Id="rId27" Type="http://schemas.openxmlformats.org/officeDocument/2006/relationships/hyperlink" Target="https://www.zapopan.gob.mx/repositorio/view/file/0j7byxlcetk0rrjzivxg/CONTRATO_187-18_Censurado.pdf" TargetMode="External"/><Relationship Id="rId48" Type="http://schemas.openxmlformats.org/officeDocument/2006/relationships/hyperlink" Target="https://www.zapopan.gob.mx/repositorio/view/file/fmvbprjddwu55xswwbiy/CONTRATO%20152-2018_Censurado.pdf" TargetMode="External"/><Relationship Id="rId69" Type="http://schemas.openxmlformats.org/officeDocument/2006/relationships/hyperlink" Target="https://www.zapopan.gob.mx/repositorio/view/file/t9yt8prqtctc2ppauepk/CONTRATO_121-18_Censurado.pdf" TargetMode="External"/><Relationship Id="rId113" Type="http://schemas.openxmlformats.org/officeDocument/2006/relationships/hyperlink" Target="https://www.zapopan.gob.mx/repositorio/view/file/tzdll1kqd2d7zbtj2h5h/238-2016.pdf" TargetMode="External"/><Relationship Id="rId134" Type="http://schemas.openxmlformats.org/officeDocument/2006/relationships/hyperlink" Target="https://www.zapopan.gob.mx/repositorio/view/file/8hgkcwvmyqymuneiqugs/229-2016.pdf" TargetMode="External"/><Relationship Id="rId320" Type="http://schemas.openxmlformats.org/officeDocument/2006/relationships/hyperlink" Target="https://www.zapopan.gob.mx/repositorio/view/file/ymcqkyqvlrtgyamc4nnh/240-2016.pdf" TargetMode="External"/><Relationship Id="rId80" Type="http://schemas.openxmlformats.org/officeDocument/2006/relationships/hyperlink" Target="https://www.zapopan.gob.mx/repositorio/view/file/bj3fmtlrf3hofdcuxssw/CONTRATO%20110-2018_Censurado.pdf" TargetMode="External"/><Relationship Id="rId155" Type="http://schemas.openxmlformats.org/officeDocument/2006/relationships/hyperlink" Target="http://www.zapopan.gob.mx/wp-content/uploads/2017/05/Contrato_033_2016.pdf" TargetMode="External"/><Relationship Id="rId176" Type="http://schemas.openxmlformats.org/officeDocument/2006/relationships/hyperlink" Target="https://www.zapopan.gob.mx/repositorio/view/file/tnrypwxupuutn5mokuis/CONTRATO_032-18_Censurado.pdf" TargetMode="External"/><Relationship Id="rId197" Type="http://schemas.openxmlformats.org/officeDocument/2006/relationships/hyperlink" Target="https://www.zapopan.gob.mx/repositorio/view/file/zn7xutzh8or8l953upra/CONTRATO_058-18_Censurado.pdf" TargetMode="External"/><Relationship Id="rId341" Type="http://schemas.openxmlformats.org/officeDocument/2006/relationships/hyperlink" Target="https://www.zapopan.gob.mx/repositorio/view/file/lyylyt6czqdelwrc7n8c/269-2016.pdf" TargetMode="External"/><Relationship Id="rId362" Type="http://schemas.openxmlformats.org/officeDocument/2006/relationships/hyperlink" Target="https://www.zapopan.gob.mx/repositorio/view/file/0cxqzc9h0dvkmd4sl0w4/096-2016.pdf" TargetMode="External"/><Relationship Id="rId383" Type="http://schemas.openxmlformats.org/officeDocument/2006/relationships/hyperlink" Target="https://www.zapopan.gob.mx/repositorio/view/file/wkotjqmgbp9uxhhbrzot/CONTRATO_273-17_Censurado.pdf" TargetMode="External"/><Relationship Id="rId418" Type="http://schemas.openxmlformats.org/officeDocument/2006/relationships/hyperlink" Target="https://www.zapopan.gob.mx/repositorio/view/file/zt7nj4tagjbtwxbmnruo/129-2017.pdf" TargetMode="External"/><Relationship Id="rId439" Type="http://schemas.openxmlformats.org/officeDocument/2006/relationships/hyperlink" Target="https://www.zapopan.gob.mx/repositorio/view/file/4jq5enf8fn38azsveyui/CONTRATO_364-17_Censurado.pdf" TargetMode="External"/><Relationship Id="rId201" Type="http://schemas.openxmlformats.org/officeDocument/2006/relationships/hyperlink" Target="https://www.zapopan.gob.mx/repositorio/view/file/ltrquzhlvuddxc8ejori/CONTRATO%20_63-18_Censuarado.pdf" TargetMode="External"/><Relationship Id="rId222" Type="http://schemas.openxmlformats.org/officeDocument/2006/relationships/hyperlink" Target="https://www.zapopan.gob.mx/repositorio/view/file/dbfogiwbvfxxathotpsf/CONTRATO_086-18_Censurado.pdf" TargetMode="External"/><Relationship Id="rId243" Type="http://schemas.openxmlformats.org/officeDocument/2006/relationships/hyperlink" Target="https://www.zapopan.gob.mx/repositorio/view/file/metdwjxyibqhqhp9r4ok/Contrato_194-18_Censurado.pdf" TargetMode="External"/><Relationship Id="rId264" Type="http://schemas.openxmlformats.org/officeDocument/2006/relationships/hyperlink" Target="http://www.zapopan.gob.mx/wp-content/uploads/2017/09/77-16.pdf" TargetMode="External"/><Relationship Id="rId285" Type="http://schemas.openxmlformats.org/officeDocument/2006/relationships/hyperlink" Target="https://www.zapopan.gob.mx/repositorio/view/file/srfdj6spckienf9pxbke/CONTRATO_186-16_Censurado.pdf" TargetMode="External"/><Relationship Id="rId450" Type="http://schemas.openxmlformats.org/officeDocument/2006/relationships/hyperlink" Target="https://www.zapopan.gob.mx/repositorio/view/file/qduyjxqeepyzrvbxc3qh/234-2017.pdf" TargetMode="External"/><Relationship Id="rId471" Type="http://schemas.openxmlformats.org/officeDocument/2006/relationships/hyperlink" Target="https://www.zapopan.gob.mx/repositorio/view/file/4ba6hjkmviwloexzge27/070-2017.pdf" TargetMode="External"/><Relationship Id="rId506" Type="http://schemas.openxmlformats.org/officeDocument/2006/relationships/hyperlink" Target="https://www.zapopan.gob.mx/wp-content/uploads/2021/07/Contrato_Modificatorio_191_2018_VP.pdf" TargetMode="External"/><Relationship Id="rId17" Type="http://schemas.openxmlformats.org/officeDocument/2006/relationships/hyperlink" Target="https://www.zapopan.gob.mx/repositorio/view/file/emssn1njzgnumwhilck9/CONTRATO_228-18_Censurado.pdf" TargetMode="External"/><Relationship Id="rId38" Type="http://schemas.openxmlformats.org/officeDocument/2006/relationships/hyperlink" Target="https://www.zapopan.gob.mx/repositorio/view/file/8co9bs9qw41imeaozx1z/CONTRATO%20164-2018_Censurado.pdf" TargetMode="External"/><Relationship Id="rId59" Type="http://schemas.openxmlformats.org/officeDocument/2006/relationships/hyperlink" Target="https://www.zapopan.gob.mx/repositorio/view/file/6mrz3zm5xijmocng6aop/CONTRATO_132-18_Censurado.pdf" TargetMode="External"/><Relationship Id="rId103" Type="http://schemas.openxmlformats.org/officeDocument/2006/relationships/hyperlink" Target="https://www.zapopan.gob.mx/repositorio/view/file/nzeqbdgnvfv4eigthg7a/CONTRATO%20003-2018_Censurado.pdf" TargetMode="External"/><Relationship Id="rId124" Type="http://schemas.openxmlformats.org/officeDocument/2006/relationships/hyperlink" Target="https://www.zapopan.gob.mx/repositorio/view/file/nxrnpwu1fp0ru5hpik84/145-2016.pdf" TargetMode="External"/><Relationship Id="rId310" Type="http://schemas.openxmlformats.org/officeDocument/2006/relationships/hyperlink" Target="https://www.zapopan.gob.mx/repositorio/view/file/gbic074llmgf17jvlxcl/169-2016.pdf" TargetMode="External"/><Relationship Id="rId492" Type="http://schemas.openxmlformats.org/officeDocument/2006/relationships/hyperlink" Target="https://www.zapopan.gob.mx/wp-content/uploads/2021/03/CO_239_2015_OP.pdf" TargetMode="External"/><Relationship Id="rId70" Type="http://schemas.openxmlformats.org/officeDocument/2006/relationships/hyperlink" Target="https://www.zapopan.gob.mx/repositorio/view/file/ayooj32fx1nhurjfyj43/CONTRATO%20120-2018_Censurado.pdf" TargetMode="External"/><Relationship Id="rId91" Type="http://schemas.openxmlformats.org/officeDocument/2006/relationships/hyperlink" Target="https://www.zapopan.gob.mx/repositorio/view/file/vyqycvuk3mztesqakopl/CONTRATO%20015-2018_Censurado.pdf" TargetMode="External"/><Relationship Id="rId145" Type="http://schemas.openxmlformats.org/officeDocument/2006/relationships/hyperlink" Target="https://www.zapopan.gob.mx/repositorio/view/file/eweycg3xqxqvbg4awinv/147-2016.pdf" TargetMode="External"/><Relationship Id="rId166" Type="http://schemas.openxmlformats.org/officeDocument/2006/relationships/hyperlink" Target="https://www.zapopan.gob.mx/repositorio/view/file/svbyzdlrke42vep4q15u/231-2015.pdf" TargetMode="External"/><Relationship Id="rId187" Type="http://schemas.openxmlformats.org/officeDocument/2006/relationships/hyperlink" Target="https://www.zapopan.gob.mx/repositorio/view/file/7fc7ouobz3r1fbmmsthk/CONTRATO_044-18_Censurado.pdf" TargetMode="External"/><Relationship Id="rId331" Type="http://schemas.openxmlformats.org/officeDocument/2006/relationships/hyperlink" Target="https://www.zapopan.gob.mx/repositorio/view/file/mx6bw4p8wow5hmci6ezs/257-2016.pdf" TargetMode="External"/><Relationship Id="rId352" Type="http://schemas.openxmlformats.org/officeDocument/2006/relationships/hyperlink" Target="https://www.zapopan.gob.mx/repositorio/view/file/9brzyr2erzlh4odyfr9e/063-2016.pdf" TargetMode="External"/><Relationship Id="rId373" Type="http://schemas.openxmlformats.org/officeDocument/2006/relationships/hyperlink" Target="https://www.zapopan.gob.mx/repositorio/view/file/otmumdd7oqbkzqrzjkz1/120-2016.pdf" TargetMode="External"/><Relationship Id="rId394" Type="http://schemas.openxmlformats.org/officeDocument/2006/relationships/hyperlink" Target="https://www.zapopan.gob.mx/repositorio/view/file/bybkuyaqwtf7ymu9nfsv/121-2017.pdf" TargetMode="External"/><Relationship Id="rId408" Type="http://schemas.openxmlformats.org/officeDocument/2006/relationships/hyperlink" Target="https://www.zapopan.gob.mx/repositorio/view/file/lrszdb2ymiayfi76cppo/CONTRATO_357-17_Censurado.pdf" TargetMode="External"/><Relationship Id="rId429" Type="http://schemas.openxmlformats.org/officeDocument/2006/relationships/hyperlink" Target="https://www.zapopan.gob.mx/repositorio/view/file/elkhr69sfmwmuvdrbudw/CONTRATO_362-17_Censurado.pdf" TargetMode="External"/><Relationship Id="rId1" Type="http://schemas.openxmlformats.org/officeDocument/2006/relationships/hyperlink" Target="https://www.zapopan.gob.mx/repositorio/view/file/moaj4gkmghna9mi9kdqs/CONVENIO_MODIFICATORIO_013_2016.pdf" TargetMode="External"/><Relationship Id="rId212" Type="http://schemas.openxmlformats.org/officeDocument/2006/relationships/hyperlink" Target="https://www.zapopan.gob.mx/repositorio/view/file/vbl092wr8vyggu0zumvo/CONTRATO%20076-2018-CENSURADO.pdf" TargetMode="External"/><Relationship Id="rId233" Type="http://schemas.openxmlformats.org/officeDocument/2006/relationships/hyperlink" Target="https://www.zapopan.gob.mx/repositorio/view/file/mb7d88iqxxrs6dqfozyu/CONTRATO_099-18_Censurado.pdf" TargetMode="External"/><Relationship Id="rId254" Type="http://schemas.openxmlformats.org/officeDocument/2006/relationships/hyperlink" Target="https://www.zapopan.gob.mx/repositorio/view/file/yfrqrco1bzeljrnhj5d7/CONTRATO_247-18_Censurado.pdf" TargetMode="External"/><Relationship Id="rId440" Type="http://schemas.openxmlformats.org/officeDocument/2006/relationships/hyperlink" Target="https://www.zapopan.gob.mx/repositorio/view/file/vdttaevwtpq8ghyet4h4/CONTRATO_366-17_Censurado.pdf" TargetMode="External"/><Relationship Id="rId28" Type="http://schemas.openxmlformats.org/officeDocument/2006/relationships/hyperlink" Target="https://www.zapopan.gob.mx/repositorio/view/file/6snmw1gbtzekowbugqqz/CONTRATO_186-18_Censurado.pdf" TargetMode="External"/><Relationship Id="rId49" Type="http://schemas.openxmlformats.org/officeDocument/2006/relationships/hyperlink" Target="https://www.zapopan.gob.mx/repositorio/view/file/tx46yeyirginrt4qhgwg/CONTRATO%20151-2018_Censurado.pdf" TargetMode="External"/><Relationship Id="rId114" Type="http://schemas.openxmlformats.org/officeDocument/2006/relationships/hyperlink" Target="https://www.zapopan.gob.mx/repositorio/view/file/wvrokgx0bo6ajo8x8cqy/233-2016.pdf" TargetMode="External"/><Relationship Id="rId275" Type="http://schemas.openxmlformats.org/officeDocument/2006/relationships/hyperlink" Target="https://www.zapopan.gob.mx/repositorio/view/file/d8nk5omttouzzclsdkvh/CONTRATO%20(144-2016)%20TAUBE.pdf" TargetMode="External"/><Relationship Id="rId296" Type="http://schemas.openxmlformats.org/officeDocument/2006/relationships/hyperlink" Target="https://www.zapopan.gob.mx/wp-content/uploads/2019/10/CO_043_16_VP_3.pdf" TargetMode="External"/><Relationship Id="rId300" Type="http://schemas.openxmlformats.org/officeDocument/2006/relationships/hyperlink" Target="https://www.zapopan.gob.mx/wp-content/uploads/2019/10/CO_277_16_VP.pdf" TargetMode="External"/><Relationship Id="rId461" Type="http://schemas.openxmlformats.org/officeDocument/2006/relationships/hyperlink" Target="https://www.zapopan.gob.mx/repositorio/view/file/stsn4mssat442cc3pqex/CONTRATO_022-17_Censurado.pdf" TargetMode="External"/><Relationship Id="rId482" Type="http://schemas.openxmlformats.org/officeDocument/2006/relationships/hyperlink" Target="https://www.zapopan.gob.mx/repositorio/view/file/t3uwd3lmuphi6cy9mufy/CONTRATO%20AD%20379%202017_Censurado.pdf" TargetMode="External"/><Relationship Id="rId60" Type="http://schemas.openxmlformats.org/officeDocument/2006/relationships/hyperlink" Target="https://www.zapopan.gob.mx/repositorio/view/file/owm4nnnuto1ul3hnkctc/CONTRATO_131-18_Censurado.pdf" TargetMode="External"/><Relationship Id="rId81" Type="http://schemas.openxmlformats.org/officeDocument/2006/relationships/hyperlink" Target="https://www.zapopan.gob.mx/repositorio/view/file/pjgcp4acc9nqz8i4x2pb/CONTRATO%20109-2018_Censurado.pdf" TargetMode="External"/><Relationship Id="rId135" Type="http://schemas.openxmlformats.org/officeDocument/2006/relationships/hyperlink" Target="https://www.zapopan.gob.mx/repositorio/view/file/eijowcrd0rr8jjddo9vg/228-2016.pdf" TargetMode="External"/><Relationship Id="rId156" Type="http://schemas.openxmlformats.org/officeDocument/2006/relationships/hyperlink" Target="http://www.zapopan.gob.mx/wp-content/uploads/2017/05/Contrato_030_2016.pdf" TargetMode="External"/><Relationship Id="rId177" Type="http://schemas.openxmlformats.org/officeDocument/2006/relationships/hyperlink" Target="https://www.zapopan.gob.mx/repositorio/view/file/hleah8qmnd1hmzpcfjv1/CONTRATO%20033-2018_Censurado.pdf" TargetMode="External"/><Relationship Id="rId198" Type="http://schemas.openxmlformats.org/officeDocument/2006/relationships/hyperlink" Target="https://www.zapopan.gob.mx/repositorio/view/file/ys24p0e0yixjyttuywst/CONTRATO_059-18_Censurado.pdf" TargetMode="External"/><Relationship Id="rId321" Type="http://schemas.openxmlformats.org/officeDocument/2006/relationships/hyperlink" Target="https://www.zapopan.gob.mx/repositorio/view/file/rgiywqk1emew15bzb8hk/241-2016.pdf" TargetMode="External"/><Relationship Id="rId342" Type="http://schemas.openxmlformats.org/officeDocument/2006/relationships/hyperlink" Target="https://www.zapopan.gob.mx/repositorio/view/file/prbpuodnm0tnhuqawhhr/272-2016.pdf" TargetMode="External"/><Relationship Id="rId363" Type="http://schemas.openxmlformats.org/officeDocument/2006/relationships/hyperlink" Target="https://www.zapopan.gob.mx/repositorio/view/file/gmx0jli54dbolmwkhg0x/097-2016.pdf" TargetMode="External"/><Relationship Id="rId384" Type="http://schemas.openxmlformats.org/officeDocument/2006/relationships/hyperlink" Target="https://www.zapopan.gob.mx/repositorio/view/file/sqiyjkjaths8bxp3iosb/CONTRATO_346-17_Censurado.pdf" TargetMode="External"/><Relationship Id="rId419" Type="http://schemas.openxmlformats.org/officeDocument/2006/relationships/hyperlink" Target="https://www.zapopan.gob.mx/repositorio/view/file/s7qjsuqsduencwxifrse/213-2017.pdf" TargetMode="External"/><Relationship Id="rId202" Type="http://schemas.openxmlformats.org/officeDocument/2006/relationships/hyperlink" Target="https://www.zapopan.gob.mx/repositorio/view/file/7izhxdvuwsie2bplesok/CONTRATO%20065%202018-CENSURADO.pdf" TargetMode="External"/><Relationship Id="rId223" Type="http://schemas.openxmlformats.org/officeDocument/2006/relationships/hyperlink" Target="https://www.zapopan.gob.mx/repositorio/view/file/u5tvf2wtaehd0rskigvo/CONTRATO_088-18_Censurado.pdf" TargetMode="External"/><Relationship Id="rId244" Type="http://schemas.openxmlformats.org/officeDocument/2006/relationships/hyperlink" Target="https://www.zapopan.gob.mx/repositorio/view/file/sy8c2izsebiiyf982m5m/Contrato_195-18_Censurado.pdf" TargetMode="External"/><Relationship Id="rId430" Type="http://schemas.openxmlformats.org/officeDocument/2006/relationships/hyperlink" Target="https://www.zapopan.gob.mx/repositorio/view/file/hhmji64dsgjhurvxwnl2/CONTRATO_363-17_Censurado.pdf" TargetMode="External"/><Relationship Id="rId18" Type="http://schemas.openxmlformats.org/officeDocument/2006/relationships/hyperlink" Target="https://www.zapopan.gob.mx/repositorio/view/file/xkqe1hmreykb1xjd172z/CONTRATO_227-18_Censurado.pdf" TargetMode="External"/><Relationship Id="rId39" Type="http://schemas.openxmlformats.org/officeDocument/2006/relationships/hyperlink" Target="https://www.zapopan.gob.mx/repositorio/view/file/gslf22yyetqln8oqemo1/CONTRATO_163-18_Censurado.pdf" TargetMode="External"/><Relationship Id="rId265" Type="http://schemas.openxmlformats.org/officeDocument/2006/relationships/hyperlink" Target="http://www.zapopan.gob.mx/wp-content/uploads/2017/09/79-16.pdf" TargetMode="External"/><Relationship Id="rId286" Type="http://schemas.openxmlformats.org/officeDocument/2006/relationships/hyperlink" Target="https://www.zapopan.gob.mx/repositorio/view/file/kuqvgfmto2kcg3nzi8oq/CONTRATO_190-16_Censurado.pdf" TargetMode="External"/><Relationship Id="rId451" Type="http://schemas.openxmlformats.org/officeDocument/2006/relationships/hyperlink" Target="https://www.zapopan.gob.mx/repositorio/view/file/9vwabiysabm1bodaoqyo/334-2017.pdf" TargetMode="External"/><Relationship Id="rId472" Type="http://schemas.openxmlformats.org/officeDocument/2006/relationships/hyperlink" Target="https://www.zapopan.gob.mx/repositorio/view/file/rpcmnryy6pr2ro4nbxgr/142-2017.pdf" TargetMode="External"/><Relationship Id="rId493" Type="http://schemas.openxmlformats.org/officeDocument/2006/relationships/hyperlink" Target="https://www.zapopan.gob.mx/wp-content/uploads/2021/03/CO_240_2015_OP.pdf" TargetMode="External"/><Relationship Id="rId507" Type="http://schemas.openxmlformats.org/officeDocument/2006/relationships/printerSettings" Target="../printerSettings/printerSettings1.bin"/><Relationship Id="rId50" Type="http://schemas.openxmlformats.org/officeDocument/2006/relationships/hyperlink" Target="https://www.zapopan.gob.mx/repositorio/view/file/2gjv0nynxbirmdvdh7iy/CONTRATO%20141-2018-CENSURADO.pdf" TargetMode="External"/><Relationship Id="rId104" Type="http://schemas.openxmlformats.org/officeDocument/2006/relationships/hyperlink" Target="https://www.zapopan.gob.mx/repositorio/view/file/m5yfhdd5a8kmwba3jgtw/CONTRATO%20002-2018_Censurado.pdf" TargetMode="External"/><Relationship Id="rId125" Type="http://schemas.openxmlformats.org/officeDocument/2006/relationships/hyperlink" Target="https://www.zapopan.gob.mx/repositorio/view/file/h3ee3gqgsl8rapfw1xdm/071-2016.pdf" TargetMode="External"/><Relationship Id="rId146" Type="http://schemas.openxmlformats.org/officeDocument/2006/relationships/hyperlink" Target="https://www.zapopan.gob.mx/repositorio/view/file/kig02awdm9hyq3ox47dx/146-2016.pdf" TargetMode="External"/><Relationship Id="rId167" Type="http://schemas.openxmlformats.org/officeDocument/2006/relationships/hyperlink" Target="https://www.zapopan.gob.mx/repositorio/view/file/s6kcd69e4dd7v5yxy2if/CONTRATO%20024-2018_Censurado.pdf" TargetMode="External"/><Relationship Id="rId188" Type="http://schemas.openxmlformats.org/officeDocument/2006/relationships/hyperlink" Target="https://www.zapopan.gob.mx/repositorio/view/file/swviq1pv5jubdvoay3db/CONTRATO_045-18_Censurado.pdf" TargetMode="External"/><Relationship Id="rId311" Type="http://schemas.openxmlformats.org/officeDocument/2006/relationships/hyperlink" Target="https://www.zapopan.gob.mx/repositorio/view/file/2rxyogyffdy3aeev8pv5/170-2016.pdf" TargetMode="External"/><Relationship Id="rId332" Type="http://schemas.openxmlformats.org/officeDocument/2006/relationships/hyperlink" Target="https://www.zapopan.gob.mx/repositorio/view/file/zuuyhmf8ytkpgtb3p8ff/258-2016.pdf" TargetMode="External"/><Relationship Id="rId353" Type="http://schemas.openxmlformats.org/officeDocument/2006/relationships/hyperlink" Target="https://www.zapopan.gob.mx/repositorio/view/file/n5ixfeb4w60hrsgnseaw/066-2016.pdf" TargetMode="External"/><Relationship Id="rId374" Type="http://schemas.openxmlformats.org/officeDocument/2006/relationships/hyperlink" Target="https://www.zapopan.gob.mx/repositorio/view/file/ctt1aaglk3f6xoqjb1d7/123-2016.pdf" TargetMode="External"/><Relationship Id="rId395" Type="http://schemas.openxmlformats.org/officeDocument/2006/relationships/hyperlink" Target="https://www.zapopan.gob.mx/repositorio/view/file/yv2arnfkwu8cbfdofuec/205-2017.pdf" TargetMode="External"/><Relationship Id="rId409" Type="http://schemas.openxmlformats.org/officeDocument/2006/relationships/hyperlink" Target="https://www.zapopan.gob.mx/repositorio/view/file/1hetd3g35tdaukuqjunv/009-2017.pdf" TargetMode="External"/><Relationship Id="rId71" Type="http://schemas.openxmlformats.org/officeDocument/2006/relationships/hyperlink" Target="https://www.zapopan.gob.mx/repositorio/view/file/00ixmksaisur29ydhei6/CONTRATO_119-18_Censurado.pdf" TargetMode="External"/><Relationship Id="rId92" Type="http://schemas.openxmlformats.org/officeDocument/2006/relationships/hyperlink" Target="https://www.zapopan.gob.mx/repositorio/view/file/vh6pc43xjuyiu8l73qks/CONTRATO%20014-2018_Censurado.pdf" TargetMode="External"/><Relationship Id="rId213" Type="http://schemas.openxmlformats.org/officeDocument/2006/relationships/hyperlink" Target="https://www.zapopan.gob.mx/repositorio/view/file/pjiygilrhvjsdoihfqup/CONTRATO%20077-2018-CENSURADO.pdf" TargetMode="External"/><Relationship Id="rId234" Type="http://schemas.openxmlformats.org/officeDocument/2006/relationships/hyperlink" Target="https://www.zapopan.gob.mx/repositorio/view/file/c8wyampmklsk4az0uyzi/CONTRATO_100-18_Censurado.pdf" TargetMode="External"/><Relationship Id="rId420" Type="http://schemas.openxmlformats.org/officeDocument/2006/relationships/hyperlink" Target="https://www.zapopan.gob.mx/repositorio/view/file/cbuag8vktlceinvsph2x/324-2017.pdf" TargetMode="External"/><Relationship Id="rId2" Type="http://schemas.openxmlformats.org/officeDocument/2006/relationships/hyperlink" Target="https://www.zapopan.gob.mx/repositorio/view/file/qbfefgs1dr5l7gp2pewa/DOPI-MUN-RP-PAV-LP-030-2016.pdf" TargetMode="External"/><Relationship Id="rId29" Type="http://schemas.openxmlformats.org/officeDocument/2006/relationships/hyperlink" Target="https://www.zapopan.gob.mx/repositorio/view/file/92ihi8frfjvbjreoc74m/CONTRATO_185-18_Censurado.pdf" TargetMode="External"/><Relationship Id="rId255" Type="http://schemas.openxmlformats.org/officeDocument/2006/relationships/hyperlink" Target="https://www.zapopan.gob.mx/repositorio/view/file/1opgkh3l595hhgjsyaim/Contrato%20248-18_Censurado.pdf" TargetMode="External"/><Relationship Id="rId276" Type="http://schemas.openxmlformats.org/officeDocument/2006/relationships/hyperlink" Target="https://www.zapopan.gob.mx/repositorio/view/file/qju7wjjkxhla3iyi5vjs/CONTRATO_153-16_Censurado.pdf" TargetMode="External"/><Relationship Id="rId297" Type="http://schemas.openxmlformats.org/officeDocument/2006/relationships/hyperlink" Target="https://www.zapopan.gob.mx/wp-content/uploads/2019/10/CO_166_16_VP.pdf" TargetMode="External"/><Relationship Id="rId441" Type="http://schemas.openxmlformats.org/officeDocument/2006/relationships/hyperlink" Target="https://www.zapopan.gob.mx/repositorio/view/file/gxwt5t7ii9mnqg2tovpm/059-2017.pdf" TargetMode="External"/><Relationship Id="rId462" Type="http://schemas.openxmlformats.org/officeDocument/2006/relationships/hyperlink" Target="https://www.zapopan.gob.mx/repositorio/view/file/upra37zfll62um9u1xwt/068-2017.pdf" TargetMode="External"/><Relationship Id="rId483" Type="http://schemas.openxmlformats.org/officeDocument/2006/relationships/hyperlink" Target="https://www.zapopan.gob.mx/repositorio/view/file/rju9ez2uxzapglsa5keq/CONTRATO%20AD%20380%202017_Censurado.pdf" TargetMode="External"/><Relationship Id="rId40" Type="http://schemas.openxmlformats.org/officeDocument/2006/relationships/hyperlink" Target="https://www.zapopan.gob.mx/repositorio/view/file/mnj2st8ycmadmal09u7t/CONTRATO%20161-2018_Censurado.pdf" TargetMode="External"/><Relationship Id="rId115" Type="http://schemas.openxmlformats.org/officeDocument/2006/relationships/hyperlink" Target="https://www.zapopan.gob.mx/repositorio/view/file/5klqirddlczpqp2z44ta/217-2016.pdf" TargetMode="External"/><Relationship Id="rId136" Type="http://schemas.openxmlformats.org/officeDocument/2006/relationships/hyperlink" Target="https://www.zapopan.gob.mx/repositorio/view/file/kmpqqt1n71xhbvco7kre/226-2016.pdf" TargetMode="External"/><Relationship Id="rId157" Type="http://schemas.openxmlformats.org/officeDocument/2006/relationships/hyperlink" Target="http://www.zapopan.gob.mx/wp-content/uploads/2017/05/Contrato_022_2016.pdf" TargetMode="External"/><Relationship Id="rId178" Type="http://schemas.openxmlformats.org/officeDocument/2006/relationships/hyperlink" Target="https://www.zapopan.gob.mx/repositorio/view/file/gopo1svtepmu3bi2cbiv/CONTRATO_034-18_Censurado.pdf" TargetMode="External"/><Relationship Id="rId301" Type="http://schemas.openxmlformats.org/officeDocument/2006/relationships/hyperlink" Target="http://www.zapopan.gob.mx/wp-content/uploads/2017/09/11_16.pdf" TargetMode="External"/><Relationship Id="rId322" Type="http://schemas.openxmlformats.org/officeDocument/2006/relationships/hyperlink" Target="https://www.zapopan.gob.mx/repositorio/view/file/7ublbz5ucapvrfrfjl6l/244-2016.pdf" TargetMode="External"/><Relationship Id="rId343" Type="http://schemas.openxmlformats.org/officeDocument/2006/relationships/hyperlink" Target="https://www.zapopan.gob.mx/repositorio/view/file/gcdmmlgvfar3933kvawv/275-2016.pdf" TargetMode="External"/><Relationship Id="rId364" Type="http://schemas.openxmlformats.org/officeDocument/2006/relationships/hyperlink" Target="https://www.zapopan.gob.mx/repositorio/view/file/yovhrqctvdkebratxlq9/099-2016.pdf" TargetMode="External"/><Relationship Id="rId61" Type="http://schemas.openxmlformats.org/officeDocument/2006/relationships/hyperlink" Target="https://www.zapopan.gob.mx/repositorio/view/file/liqjsjot0axchwu8nrki/CONTRATO_130-18_Censurado.pdf" TargetMode="External"/><Relationship Id="rId82" Type="http://schemas.openxmlformats.org/officeDocument/2006/relationships/hyperlink" Target="https://www.zapopan.gob.mx/repositorio/view/file/2xulffn0kpeoc2pidifc/CONTRATO_108-18_Censurado.pdf" TargetMode="External"/><Relationship Id="rId199" Type="http://schemas.openxmlformats.org/officeDocument/2006/relationships/hyperlink" Target="https://www.zapopan.gob.mx/repositorio/view/file/l54uhptj2fuv7lgz7udd/CONTRATO_060-18_Censurado.pdf" TargetMode="External"/><Relationship Id="rId203" Type="http://schemas.openxmlformats.org/officeDocument/2006/relationships/hyperlink" Target="https://www.zapopan.gob.mx/repositorio/view/file/eb8kq7kwtgfxewrkmddf/CONTRATO%20066-2018-CENSURADO.pdf" TargetMode="External"/><Relationship Id="rId385" Type="http://schemas.openxmlformats.org/officeDocument/2006/relationships/hyperlink" Target="https://www.zapopan.gob.mx/repositorio/view/file/rv9r2nvgfnqce1wdky7f/032-2017.pdf" TargetMode="External"/><Relationship Id="rId19" Type="http://schemas.openxmlformats.org/officeDocument/2006/relationships/hyperlink" Target="https://www.zapopan.gob.mx/repositorio/view/file/vr5pfyzuknfkp2ieq3wd/CONTRATO_223-18_Censurado.pdf" TargetMode="External"/><Relationship Id="rId224" Type="http://schemas.openxmlformats.org/officeDocument/2006/relationships/hyperlink" Target="https://www.zapopan.gob.mx/repositorio/view/file/w72fxjxgcaasopq4mpmx/CONTRATO_089-18_Censurado.pdf" TargetMode="External"/><Relationship Id="rId245" Type="http://schemas.openxmlformats.org/officeDocument/2006/relationships/hyperlink" Target="https://www.zapopan.gob.mx/repositorio/view/file/vvckxljcbu3imxfwirnv/CONTRATO_196-18_Censurado.pdf" TargetMode="External"/><Relationship Id="rId266" Type="http://schemas.openxmlformats.org/officeDocument/2006/relationships/hyperlink" Target="https://www.zapopan.gob.mx/repositorio/view/file/0rhcasrgfz8yrdnqvcc0/195_2017.pdf" TargetMode="External"/><Relationship Id="rId287" Type="http://schemas.openxmlformats.org/officeDocument/2006/relationships/hyperlink" Target="https://www.zapopan.gob.mx/repositorio/view/file/bsgqx31v9yan8x0clago/CONTRATO_191-16_Censurado.pdf" TargetMode="External"/><Relationship Id="rId410" Type="http://schemas.openxmlformats.org/officeDocument/2006/relationships/hyperlink" Target="https://www.zapopan.gob.mx/repositorio/view/file/gjo49ntysrtwcoyff9ms/CONTRATO_350-17_Censurado.pdf" TargetMode="External"/><Relationship Id="rId431" Type="http://schemas.openxmlformats.org/officeDocument/2006/relationships/hyperlink" Target="https://www.zapopan.gob.mx/repositorio/view/file/4u9vgjnvfysfhljlwpx3/CONTRATO_015-17_Censurado.pdf" TargetMode="External"/><Relationship Id="rId452" Type="http://schemas.openxmlformats.org/officeDocument/2006/relationships/hyperlink" Target="https://www.zapopan.gob.mx/repositorio/view/file/cldztdsg0bu6q4vsxldn/335-2017.pdf" TargetMode="External"/><Relationship Id="rId473" Type="http://schemas.openxmlformats.org/officeDocument/2006/relationships/hyperlink" Target="https://www.zapopan.gob.mx/repositorio/view/file/no45fu9sxfswddotwpqs/143-2017.pdf" TargetMode="External"/><Relationship Id="rId494" Type="http://schemas.openxmlformats.org/officeDocument/2006/relationships/hyperlink" Target="https://www.zapopan.gob.mx/wp-content/uploads/2021/03/CO_242_2015_OP.pdf" TargetMode="External"/><Relationship Id="rId508" Type="http://schemas.openxmlformats.org/officeDocument/2006/relationships/drawing" Target="../drawings/drawing1.xml"/><Relationship Id="rId30" Type="http://schemas.openxmlformats.org/officeDocument/2006/relationships/hyperlink" Target="https://www.zapopan.gob.mx/repositorio/view/file/c81xmccyzk9cvzf9cs6u/CONTRATO_184-18_Censurado.pdf" TargetMode="External"/><Relationship Id="rId105" Type="http://schemas.openxmlformats.org/officeDocument/2006/relationships/hyperlink" Target="https://www.zapopan.gob.mx/repositorio/view/file/1vlrumbktqtifih61kad/CONTRATO%20001%202018_Censurado.pdf" TargetMode="External"/><Relationship Id="rId126" Type="http://schemas.openxmlformats.org/officeDocument/2006/relationships/hyperlink" Target="https://www.zapopan.gob.mx/repositorio/view/file/gm4wb22ti4ap7bm1vfqd/053-2016.pdf" TargetMode="External"/><Relationship Id="rId147" Type="http://schemas.openxmlformats.org/officeDocument/2006/relationships/hyperlink" Target="https://www.zapopan.gob.mx/repositorio/view/file/4hg4oneoi99d72b62eas/136-2016.pdf" TargetMode="External"/><Relationship Id="rId168" Type="http://schemas.openxmlformats.org/officeDocument/2006/relationships/hyperlink" Target="https://www.zapopan.gob.mx/repositorio/view/file/vpp06bjg0g6ivvopashn/CONTRATO%20022-2018_Censurado.pdf" TargetMode="External"/><Relationship Id="rId312" Type="http://schemas.openxmlformats.org/officeDocument/2006/relationships/hyperlink" Target="https://www.zapopan.gob.mx/repositorio/view/file/jchdgwnqqtyzyu7bablq/213-2016.pdf" TargetMode="External"/><Relationship Id="rId333" Type="http://schemas.openxmlformats.org/officeDocument/2006/relationships/hyperlink" Target="https://www.zapopan.gob.mx/repositorio/view/file/xtegjocqkriijenbohrq/259-2016.pdf" TargetMode="External"/><Relationship Id="rId354" Type="http://schemas.openxmlformats.org/officeDocument/2006/relationships/hyperlink" Target="https://www.zapopan.gob.mx/repositorio/view/file/exnlff9axnrut6hxzihi/085-2016.pdf" TargetMode="External"/><Relationship Id="rId51" Type="http://schemas.openxmlformats.org/officeDocument/2006/relationships/hyperlink" Target="https://www.zapopan.gob.mx/repositorio/view/file/vse5akcpen4lcvxfdvgi/CONTRATO%20140-2018-CENSURADO.pdf" TargetMode="External"/><Relationship Id="rId72" Type="http://schemas.openxmlformats.org/officeDocument/2006/relationships/hyperlink" Target="https://www.zapopan.gob.mx/repositorio/view/file/tendthztus9zflltpqwh/CONTRATO_118-18_Censurado.pdf" TargetMode="External"/><Relationship Id="rId93" Type="http://schemas.openxmlformats.org/officeDocument/2006/relationships/hyperlink" Target="https://www.zapopan.gob.mx/repositorio/view/file/olimityq7jyvyfpdoumv/CONTRATO%20013-2018_Censurado.pdf" TargetMode="External"/><Relationship Id="rId189" Type="http://schemas.openxmlformats.org/officeDocument/2006/relationships/hyperlink" Target="https://www.zapopan.gob.mx/repositorio/view/file/3ob1f3ntqjfefyhdkjv8/CONTRATO_046-18_Censurado.pdf" TargetMode="External"/><Relationship Id="rId375" Type="http://schemas.openxmlformats.org/officeDocument/2006/relationships/hyperlink" Target="https://www.zapopan.gob.mx/repositorio/view/file/x4rqz0qu1lj1vhhj4o13/124-2016.pdf" TargetMode="External"/><Relationship Id="rId396" Type="http://schemas.openxmlformats.org/officeDocument/2006/relationships/hyperlink" Target="https://www.zapopan.gob.mx/repositorio/view/file/6gmltvk7pm0nbu22gny3/206-2017.pdf" TargetMode="External"/><Relationship Id="rId3" Type="http://schemas.openxmlformats.org/officeDocument/2006/relationships/hyperlink" Target="https://www.zapopan.gob.mx/repositorio/view/file/c0htrdagwdrk9k0tqtzc/CONVENIO_MODIFICATORIO_008_2016.pdf" TargetMode="External"/><Relationship Id="rId214" Type="http://schemas.openxmlformats.org/officeDocument/2006/relationships/hyperlink" Target="https://www.zapopan.gob.mx/repositorio/view/file/fwue1tdbu60rsnlm6muj/CONTRATO%20078-2018-CENSURADO.pdf" TargetMode="External"/><Relationship Id="rId235" Type="http://schemas.openxmlformats.org/officeDocument/2006/relationships/hyperlink" Target="https://www.zapopan.gob.mx/repositorio/view/file/xzuca2ip7gdq1lmhl0ed/CONTRATO_102-18_Censurado.pdf" TargetMode="External"/><Relationship Id="rId256" Type="http://schemas.openxmlformats.org/officeDocument/2006/relationships/hyperlink" Target="https://www.zapopan.gob.mx/repositorio/view/file/uekt95wfz7risbdd2dpt/CONTRATO_251-18_Censurado.pdf" TargetMode="External"/><Relationship Id="rId277" Type="http://schemas.openxmlformats.org/officeDocument/2006/relationships/hyperlink" Target="https://www.zapopan.gob.mx/repositorio/view/file/yovfha18hkbzdcmg6mip/CONTRATO_173-16_Censurado.pdf" TargetMode="External"/><Relationship Id="rId298" Type="http://schemas.openxmlformats.org/officeDocument/2006/relationships/hyperlink" Target="https://www.zapopan.gob.mx/wp-content/uploads/2019/10/CO_242_16_VP.pdf" TargetMode="External"/><Relationship Id="rId400" Type="http://schemas.openxmlformats.org/officeDocument/2006/relationships/hyperlink" Target="http://www.zapopan.gob.mx/repositorio/view/file/ruo5ukhwk7zln2s1ygkf/CONTRATO_207_2017.pdf" TargetMode="External"/><Relationship Id="rId421" Type="http://schemas.openxmlformats.org/officeDocument/2006/relationships/hyperlink" Target="https://www.zapopan.gob.mx/repositorio/view/file/y4lvwr11hqq3400srwkl/325-2017.pdf" TargetMode="External"/><Relationship Id="rId442" Type="http://schemas.openxmlformats.org/officeDocument/2006/relationships/hyperlink" Target="https://www.zapopan.gob.mx/repositorio/view/file/ynhlulcjrpfm7ngpd8t0/CONTRATO_060-17_Censurado.pdf" TargetMode="External"/><Relationship Id="rId463" Type="http://schemas.openxmlformats.org/officeDocument/2006/relationships/hyperlink" Target="http://www.zapopan.gob.mx/repositorio/view/file/wx416wevpa1zrawmxik7/CONTRATO_140_2017.pdf" TargetMode="External"/><Relationship Id="rId484" Type="http://schemas.openxmlformats.org/officeDocument/2006/relationships/hyperlink" Target="https://www.zapopan.gob.mx/repositorio/view/file/txcbbfidajj80yedomog/CONTRATO_074-17_Censurado.pdf" TargetMode="External"/><Relationship Id="rId116" Type="http://schemas.openxmlformats.org/officeDocument/2006/relationships/hyperlink" Target="https://www.zapopan.gob.mx/repositorio/view/file/lxnt6ckcsnf9gflulrsp/214-2016.pdf" TargetMode="External"/><Relationship Id="rId137" Type="http://schemas.openxmlformats.org/officeDocument/2006/relationships/hyperlink" Target="https://www.zapopan.gob.mx/repositorio/view/file/8rxxh5qxhjq54gqqpfti/210-2016.pdf" TargetMode="External"/><Relationship Id="rId158" Type="http://schemas.openxmlformats.org/officeDocument/2006/relationships/hyperlink" Target="http://www.zapopan.gob.mx/wp-content/uploads/2017/05/Contrato_019_2016.pdf" TargetMode="External"/><Relationship Id="rId302" Type="http://schemas.openxmlformats.org/officeDocument/2006/relationships/hyperlink" Target="https://www.zapopan.gob.mx/repositorio/view/file/4jx9fnzswguc1ikxeekz/083-2016.pdf" TargetMode="External"/><Relationship Id="rId323" Type="http://schemas.openxmlformats.org/officeDocument/2006/relationships/hyperlink" Target="https://www.zapopan.gob.mx/repositorio/view/file/yigkb1flb9cthrslras0/246-2016.pdf" TargetMode="External"/><Relationship Id="rId344" Type="http://schemas.openxmlformats.org/officeDocument/2006/relationships/hyperlink" Target="https://www.zapopan.gob.mx/repositorio/view/file/o5hjwxmfcnqrvikeebdm/278-2016.pdf" TargetMode="External"/><Relationship Id="rId20" Type="http://schemas.openxmlformats.org/officeDocument/2006/relationships/hyperlink" Target="https://www.zapopan.gob.mx/repositorio/view/file/rdvmnx4towhbje0caofs/CONTRATO_222-18_Censurado.pdf" TargetMode="External"/><Relationship Id="rId41" Type="http://schemas.openxmlformats.org/officeDocument/2006/relationships/hyperlink" Target="https://www.zapopan.gob.mx/repositorio/view/file/gtnt0rx00natcrkuwkrc/CONTRATO%20160-2018_Censurado.pdf" TargetMode="External"/><Relationship Id="rId62" Type="http://schemas.openxmlformats.org/officeDocument/2006/relationships/hyperlink" Target="https://www.zapopan.gob.mx/repositorio/view/file/uzjww5dzabdu2fglfgqx/CONTRATO_129-18_Censurado.pdf" TargetMode="External"/><Relationship Id="rId83" Type="http://schemas.openxmlformats.org/officeDocument/2006/relationships/hyperlink" Target="https://www.zapopan.gob.mx/repositorio/view/file/kba2odlaxm8kw07n8uco/CONTRATO_107-18_Censurado.pdf" TargetMode="External"/><Relationship Id="rId179" Type="http://schemas.openxmlformats.org/officeDocument/2006/relationships/hyperlink" Target="https://www.zapopan.gob.mx/repositorio/view/file/owccd1rksfqhjvavtj79/CONTRATO_035-18_Censurado.pdf" TargetMode="External"/><Relationship Id="rId365" Type="http://schemas.openxmlformats.org/officeDocument/2006/relationships/hyperlink" Target="https://www.zapopan.gob.mx/repositorio/view/file/hi9kqrns62jmlj83tfxr/100-2016.pdf" TargetMode="External"/><Relationship Id="rId386" Type="http://schemas.openxmlformats.org/officeDocument/2006/relationships/hyperlink" Target="https://www.zapopan.gob.mx/repositorio/view/file/fluxrnwvo7ztkfmihcg4/094-2017.pdf" TargetMode="External"/><Relationship Id="rId190" Type="http://schemas.openxmlformats.org/officeDocument/2006/relationships/hyperlink" Target="https://www.zapopan.gob.mx/repositorio/view/file/t2eebjcyzowcju28dtah/CONTRATO_047-18_Censurado.pdf" TargetMode="External"/><Relationship Id="rId204" Type="http://schemas.openxmlformats.org/officeDocument/2006/relationships/hyperlink" Target="https://www.zapopan.gob.mx/repositorio/view/file/djkobajqe03j40qz4ccq/CONTRATO%20067-2018-CENSURADO.pdf" TargetMode="External"/><Relationship Id="rId225" Type="http://schemas.openxmlformats.org/officeDocument/2006/relationships/hyperlink" Target="https://www.zapopan.gob.mx/repositorio/view/file/oly3zaqesmmgqgtq4ece/CONTRATO_90-18_Censurado.pdf" TargetMode="External"/><Relationship Id="rId246" Type="http://schemas.openxmlformats.org/officeDocument/2006/relationships/hyperlink" Target="https://www.zapopan.gob.mx/repositorio/view/file/bi1068z7y7okjxmuatku/Contrato_197-18_Censurado.pdf" TargetMode="External"/><Relationship Id="rId267" Type="http://schemas.openxmlformats.org/officeDocument/2006/relationships/hyperlink" Target="https://www.zapopan.gob.mx/transparencia/obras-publicas/planes-parciales/" TargetMode="External"/><Relationship Id="rId288" Type="http://schemas.openxmlformats.org/officeDocument/2006/relationships/hyperlink" Target="https://www.zapopan.gob.mx/repositorio/view/file/udboztmrigo6y6a1idhf/CONTRATO_192-16_Censurado.pdf" TargetMode="External"/><Relationship Id="rId411" Type="http://schemas.openxmlformats.org/officeDocument/2006/relationships/hyperlink" Target="https://www.zapopan.gob.mx/repositorio/view/file/ktbni1rgdbutebjh5owj/052-2017.pdf" TargetMode="External"/><Relationship Id="rId432" Type="http://schemas.openxmlformats.org/officeDocument/2006/relationships/hyperlink" Target="https://www.zapopan.gob.mx/repositorio/view/file/t8k1n0a9dyicygcun8at/057-2017.pdf" TargetMode="External"/><Relationship Id="rId453" Type="http://schemas.openxmlformats.org/officeDocument/2006/relationships/hyperlink" Target="https://www.zapopan.gob.mx/repositorio/view/file/esajwkdbxrpu93srmr7j/CONTRATO_371-17_Censurado.pdf" TargetMode="External"/><Relationship Id="rId474" Type="http://schemas.openxmlformats.org/officeDocument/2006/relationships/hyperlink" Target="https://www.zapopan.gob.mx/repositorio/view/file/jcmtorw7juafvaaqm9pu/CONTRATO_245-17_Censurado.pdf" TargetMode="External"/><Relationship Id="rId509" Type="http://schemas.openxmlformats.org/officeDocument/2006/relationships/vmlDrawing" Target="../drawings/vmlDrawing1.vml"/><Relationship Id="rId106" Type="http://schemas.openxmlformats.org/officeDocument/2006/relationships/hyperlink" Target="https://www.zapopan.gob.mx/repositorio/view/file/gj0wzxkcoq2fnhrw8ce0/CONTRATO%20AD%20344%202017_Censurado.pdf" TargetMode="External"/><Relationship Id="rId127" Type="http://schemas.openxmlformats.org/officeDocument/2006/relationships/hyperlink" Target="https://www.zapopan.gob.mx/repositorio/view/file/lrajrvlmsjvk04dicitt/032-2016.pdf" TargetMode="External"/><Relationship Id="rId313" Type="http://schemas.openxmlformats.org/officeDocument/2006/relationships/hyperlink" Target="https://www.zapopan.gob.mx/repositorio/view/file/x3l2kingira9mo366n1z/215-2016.pdf" TargetMode="External"/><Relationship Id="rId495" Type="http://schemas.openxmlformats.org/officeDocument/2006/relationships/hyperlink" Target="https://www.zapopan.gob.mx/wp-content/uploads/2021/03/CO_243_2015_OP.pdf" TargetMode="External"/><Relationship Id="rId10" Type="http://schemas.openxmlformats.org/officeDocument/2006/relationships/hyperlink" Target="https://www.zapopan.gob.mx/repositorio/view/file/6wzdeqtod2na4z5kjoqf/CONTRATO_280-18_Censurado.pdf" TargetMode="External"/><Relationship Id="rId31" Type="http://schemas.openxmlformats.org/officeDocument/2006/relationships/hyperlink" Target="https://www.zapopan.gob.mx/repositorio/view/file/9axglrji8clhgtmjo49b/CONTRATO_183-18_Censurado.pdf" TargetMode="External"/><Relationship Id="rId52" Type="http://schemas.openxmlformats.org/officeDocument/2006/relationships/hyperlink" Target="https://www.zapopan.gob.mx/repositorio/view/file/h1mlbvs7zzlrfe7xqwuo/CONTRATO%20139-2018-CENSURADO.pdf" TargetMode="External"/><Relationship Id="rId73" Type="http://schemas.openxmlformats.org/officeDocument/2006/relationships/hyperlink" Target="https://www.zapopan.gob.mx/repositorio/view/file/6qoop81ykprxlhqad9mm/CONTRATO_117-18_Censurado.pdf" TargetMode="External"/><Relationship Id="rId94" Type="http://schemas.openxmlformats.org/officeDocument/2006/relationships/hyperlink" Target="https://www.zapopan.gob.mx/repositorio/view/file/zokhfjcfs7lngn2ximxn/CONTRATO_012-18_Censurado.pdf" TargetMode="External"/><Relationship Id="rId148" Type="http://schemas.openxmlformats.org/officeDocument/2006/relationships/hyperlink" Target="https://www.zapopan.gob.mx/repositorio/view/file/ciqcgpxexva5w2f3o1pg/126-2016.pdf" TargetMode="External"/><Relationship Id="rId169" Type="http://schemas.openxmlformats.org/officeDocument/2006/relationships/hyperlink" Target="https://www.zapopan.gob.mx/repositorio/view/file/dgegqk5dh1sorvrouoy7/CONTRATO%20023-2018_Censurado.pdf" TargetMode="External"/><Relationship Id="rId334" Type="http://schemas.openxmlformats.org/officeDocument/2006/relationships/hyperlink" Target="https://www.zapopan.gob.mx/repositorio/view/file/zyjjwy0x7fjireyu9ryk/260-2016.pdf" TargetMode="External"/><Relationship Id="rId355" Type="http://schemas.openxmlformats.org/officeDocument/2006/relationships/hyperlink" Target="https://www.zapopan.gob.mx/repositorio/view/file/ym14k2spmrhe3ur01u9k/086-2016.pdf" TargetMode="External"/><Relationship Id="rId376" Type="http://schemas.openxmlformats.org/officeDocument/2006/relationships/hyperlink" Target="https://www.zapopan.gob.mx/repositorio/view/file/tqpcoem77mdnefmg3kde/125-2016.pdf" TargetMode="External"/><Relationship Id="rId397" Type="http://schemas.openxmlformats.org/officeDocument/2006/relationships/hyperlink" Target="https://www.zapopan.gob.mx/repositorio/view/file/e6knlps9anmfyhltfatm/277-2017.pdf" TargetMode="External"/><Relationship Id="rId4" Type="http://schemas.openxmlformats.org/officeDocument/2006/relationships/hyperlink" Target="https://www.zapopan.gob.mx/repositorio/view/file/d4hhjrh5uex4cgnhoecb/DOPI-MUN-RP-PAV-LP-020-2016.pdf" TargetMode="External"/><Relationship Id="rId180" Type="http://schemas.openxmlformats.org/officeDocument/2006/relationships/hyperlink" Target="https://www.zapopan.gob.mx/repositorio/view/file/hbkridjhyfr7j3nyfprq/CONTRATO_037-18_Censurado.pdf" TargetMode="External"/><Relationship Id="rId215" Type="http://schemas.openxmlformats.org/officeDocument/2006/relationships/hyperlink" Target="https://www.zapopan.gob.mx/repositorio/view/file/3hg2ztgci4cafdzsm9aq/CONTRATO_079-18_Censurado.pdf" TargetMode="External"/><Relationship Id="rId236" Type="http://schemas.openxmlformats.org/officeDocument/2006/relationships/hyperlink" Target="https://www.zapopan.gob.mx/repositorio/view/file/2dqwiy0n5eshos9b9kio/CONTRATO_104-18_Censurado.pdf" TargetMode="External"/><Relationship Id="rId257" Type="http://schemas.openxmlformats.org/officeDocument/2006/relationships/hyperlink" Target="https://www.zapopan.gob.mx/repositorio/view/file/beufvg3amrwtp1w50jw2/CONTRATO_254-18_Censurado.pdf" TargetMode="External"/><Relationship Id="rId278" Type="http://schemas.openxmlformats.org/officeDocument/2006/relationships/hyperlink" Target="https://www.zapopan.gob.mx/repositorio/view/file/mukpayoxrfmjjopxhy8s/CONTRATO_174-16_Censurado.pdf" TargetMode="External"/><Relationship Id="rId401" Type="http://schemas.openxmlformats.org/officeDocument/2006/relationships/hyperlink" Target="https://www.zapopan.gob.mx/repositorio/view/file/e13un5vsakomznbkqt3i/208-2017.pdf" TargetMode="External"/><Relationship Id="rId422" Type="http://schemas.openxmlformats.org/officeDocument/2006/relationships/hyperlink" Target="https://www.zapopan.gob.mx/repositorio/view/file/bva7i6dpmk0yaip8qt3r/CONTRATO_360-17_Censurado.pdf" TargetMode="External"/><Relationship Id="rId443" Type="http://schemas.openxmlformats.org/officeDocument/2006/relationships/hyperlink" Target="https://www.zapopan.gob.mx/repositorio/view/file/yb2um90sttsxcvkirl3p/134-2017.pdf" TargetMode="External"/><Relationship Id="rId464" Type="http://schemas.openxmlformats.org/officeDocument/2006/relationships/hyperlink" Target="https://www.zapopan.gob.mx/repositorio/view/file/wie6movywbi9fgh0pqsq/141-2017.pdf" TargetMode="External"/><Relationship Id="rId303" Type="http://schemas.openxmlformats.org/officeDocument/2006/relationships/hyperlink" Target="https://www.zapopan.gob.mx/repositorio/view/file/guudnthl2jgo0xsiweb2/128-2016.pdf" TargetMode="External"/><Relationship Id="rId485" Type="http://schemas.openxmlformats.org/officeDocument/2006/relationships/hyperlink" Target="https://www.zapopan.gob.mx/repositorio/view/file/fb21xia0klpfktybehwa/180-2017.pdf" TargetMode="External"/><Relationship Id="rId42" Type="http://schemas.openxmlformats.org/officeDocument/2006/relationships/hyperlink" Target="https://www.zapopan.gob.mx/repositorio/view/file/p8njlccdainqajcraheo/CONTRATO%20159-2018_Censurado.pdf" TargetMode="External"/><Relationship Id="rId84" Type="http://schemas.openxmlformats.org/officeDocument/2006/relationships/hyperlink" Target="https://www.zapopan.gob.mx/repositorio/view/file/rsnahe9ovvgvorj5lbt1/CONTRATO_106-18_Censurado.pdf" TargetMode="External"/><Relationship Id="rId138" Type="http://schemas.openxmlformats.org/officeDocument/2006/relationships/hyperlink" Target="https://www.zapopan.gob.mx/repositorio/view/file/duywrwty1ba7gwhhbnks/209-2016.pdf" TargetMode="External"/><Relationship Id="rId345" Type="http://schemas.openxmlformats.org/officeDocument/2006/relationships/hyperlink" Target="https://www.zapopan.gob.mx/repositorio/view/file/yne0m192fafmrqmw58vc/279-2016.pdf" TargetMode="External"/><Relationship Id="rId387" Type="http://schemas.openxmlformats.org/officeDocument/2006/relationships/hyperlink" Target="https://www.zapopan.gob.mx/repositorio/view/file/azmuuavi1xvwf81lkrrz/119-2017.pdf" TargetMode="External"/><Relationship Id="rId510" Type="http://schemas.openxmlformats.org/officeDocument/2006/relationships/comments" Target="../comments1.xml"/><Relationship Id="rId191" Type="http://schemas.openxmlformats.org/officeDocument/2006/relationships/hyperlink" Target="https://www.zapopan.gob.mx/repositorio/view/file/aibut1z9idv2n1uvu4ku/CONTRATO_049-18_Censurado.pdf" TargetMode="External"/><Relationship Id="rId205" Type="http://schemas.openxmlformats.org/officeDocument/2006/relationships/hyperlink" Target="https://www.zapopan.gob.mx/repositorio/view/file/3br2zam1niad1zu52icr/CONTRATO%20069%202018-CENSURADO.pdf" TargetMode="External"/><Relationship Id="rId247" Type="http://schemas.openxmlformats.org/officeDocument/2006/relationships/hyperlink" Target="https://www.zapopan.gob.mx/repositorio/view/file/yh30krxphqnlsqaanpqs/Contrato_199-18_Censurado.pdf" TargetMode="External"/><Relationship Id="rId412" Type="http://schemas.openxmlformats.org/officeDocument/2006/relationships/hyperlink" Target="https://www.zapopan.gob.mx/repositorio/view/file/cudq69vxexxoqidqntfl/126-2017.pdf" TargetMode="External"/><Relationship Id="rId107" Type="http://schemas.openxmlformats.org/officeDocument/2006/relationships/hyperlink" Target="https://www.zapopan.gob.mx/repositorio/view/file/xtfbobkicpvs3jmxzk3o/CONTRATO_279-17IN_Censurado.pdf" TargetMode="External"/><Relationship Id="rId289" Type="http://schemas.openxmlformats.org/officeDocument/2006/relationships/hyperlink" Target="https://www.zapopan.gob.mx/repositorio/view/file/jpwwhkwpvivx4itjb4tm/CONTRATO_193-16_Censurado.pdf" TargetMode="External"/><Relationship Id="rId454" Type="http://schemas.openxmlformats.org/officeDocument/2006/relationships/hyperlink" Target="https://www.zapopan.gob.mx/repositorio/view/file/adqdweyino6c8qworc3m/CONTRATO_372-17_Censurado.pdf" TargetMode="External"/><Relationship Id="rId496" Type="http://schemas.openxmlformats.org/officeDocument/2006/relationships/hyperlink" Target="https://www.zapopan.gob.mx/wp-content/uploads/2021/03/CO_027_2016_OP.pdf" TargetMode="External"/><Relationship Id="rId11" Type="http://schemas.openxmlformats.org/officeDocument/2006/relationships/hyperlink" Target="https://www.zapopan.gob.mx/repositorio/view/file/ckj2dtqajmjmq0kw1nx8/CONTRATO_278-18_Censurado.pdf" TargetMode="External"/><Relationship Id="rId53" Type="http://schemas.openxmlformats.org/officeDocument/2006/relationships/hyperlink" Target="https://www.zapopan.gob.mx/repositorio/view/file/mh8qhsrs9gefagndaxup/CONTRATO_138-18_CENSURADO.pdf" TargetMode="External"/><Relationship Id="rId149" Type="http://schemas.openxmlformats.org/officeDocument/2006/relationships/hyperlink" Target="https://www.zapopan.gob.mx/repositorio/view/file/ylf2f2qrui6zwltejrze/109-2016.pdf" TargetMode="External"/><Relationship Id="rId314" Type="http://schemas.openxmlformats.org/officeDocument/2006/relationships/hyperlink" Target="https://www.zapopan.gob.mx/repositorio/view/file/zfro43z9ybvmrecnuw3h/216-2016.pdf" TargetMode="External"/><Relationship Id="rId356" Type="http://schemas.openxmlformats.org/officeDocument/2006/relationships/hyperlink" Target="https://www.zapopan.gob.mx/repositorio/view/file/zoa1fpf9rcimyxyhvjpr/087-2016.pdf" TargetMode="External"/><Relationship Id="rId398" Type="http://schemas.openxmlformats.org/officeDocument/2006/relationships/hyperlink" Target="https://www.zapopan.gob.mx/repositorio/view/file/mdfmkgr0mdiszw4sr9sk/CONTRATO_278-17_Censurado.pdf" TargetMode="External"/><Relationship Id="rId95" Type="http://schemas.openxmlformats.org/officeDocument/2006/relationships/hyperlink" Target="https://www.zapopan.gob.mx/repositorio/view/file/eijeryeoshbsk5xmq4vl/CONTRATO_011-18_Censurado.pdf" TargetMode="External"/><Relationship Id="rId160" Type="http://schemas.openxmlformats.org/officeDocument/2006/relationships/hyperlink" Target="http://www.zapopan.gob.mx/wp-content/uploads/2017/06/DOPI_005_2016.pdf" TargetMode="External"/><Relationship Id="rId216" Type="http://schemas.openxmlformats.org/officeDocument/2006/relationships/hyperlink" Target="https://www.zapopan.gob.mx/repositorio/view/file/3vhsrr8nrns6putbbctw/CONTRATO_080-18_Censurado.pdf" TargetMode="External"/><Relationship Id="rId423" Type="http://schemas.openxmlformats.org/officeDocument/2006/relationships/hyperlink" Target="https://www.zapopan.gob.mx/repositorio/view/file/ubdeumfqnq6vhxiozmsk/CONTRATO_361-17_Censurado.pdf" TargetMode="External"/><Relationship Id="rId258" Type="http://schemas.openxmlformats.org/officeDocument/2006/relationships/hyperlink" Target="https://www.zapopan.gob.mx/repositorio/view/file/isldmmdvycovzbglsnrc/CONTRATO_273-18_Censurado.pdf" TargetMode="External"/><Relationship Id="rId465" Type="http://schemas.openxmlformats.org/officeDocument/2006/relationships/hyperlink" Target="https://www.zapopan.gob.mx/repositorio/view/file/h0evjxerhdnrdfonmdfb/CONTRATO_244-17_Censurado.pdf" TargetMode="External"/><Relationship Id="rId22" Type="http://schemas.openxmlformats.org/officeDocument/2006/relationships/hyperlink" Target="https://www.zapopan.gob.mx/repositorio/view/file/3afi6z8w6lxoeiv2komi/CONTRATO_214-18_Censurado.pdf" TargetMode="External"/><Relationship Id="rId64" Type="http://schemas.openxmlformats.org/officeDocument/2006/relationships/hyperlink" Target="https://www.zapopan.gob.mx/repositorio/view/file/ytgqxueaqytkxb6ceprq/CONTRATO_126-18_Censurado.pdf" TargetMode="External"/><Relationship Id="rId118" Type="http://schemas.openxmlformats.org/officeDocument/2006/relationships/hyperlink" Target="https://www.zapopan.gob.mx/repositorio/view/file/hx6jjzyrpo4esqq28ydx/207-2016.pdf" TargetMode="External"/><Relationship Id="rId325" Type="http://schemas.openxmlformats.org/officeDocument/2006/relationships/hyperlink" Target="https://www.zapopan.gob.mx/repositorio/view/file/m0pwpgo6v1mvvjyd2ifi/251-2016.pdf" TargetMode="External"/><Relationship Id="rId367" Type="http://schemas.openxmlformats.org/officeDocument/2006/relationships/hyperlink" Target="https://www.zapopan.gob.mx/repositorio/view/file/gwgq3gwrp4cfupwpf8l9/113-2016.pdf" TargetMode="External"/><Relationship Id="rId171" Type="http://schemas.openxmlformats.org/officeDocument/2006/relationships/hyperlink" Target="https://www.zapopan.gob.mx/repositorio/view/file/ligq5mthkqbnogulsrd2/CONTRATO%20027-2018_Censurado.pdf" TargetMode="External"/><Relationship Id="rId227" Type="http://schemas.openxmlformats.org/officeDocument/2006/relationships/hyperlink" Target="https://www.zapopan.gob.mx/repositorio/view/file/5gv1kmwehxxd29ta07tn/CONTRATO_092-18_Censurado.pdf" TargetMode="External"/><Relationship Id="rId269" Type="http://schemas.openxmlformats.org/officeDocument/2006/relationships/hyperlink" Target="https://www.zapopan.gob.mx/repositorio/view/file/0l6grvgmzpekmzrcxa1h/CONTRATO%20(045-2016)%20URCOMA.pdf" TargetMode="External"/><Relationship Id="rId434" Type="http://schemas.openxmlformats.org/officeDocument/2006/relationships/hyperlink" Target="https://www.zapopan.gob.mx/repositorio/view/file/ksnwnsecywz028bqf3nv/132-2017.pdf" TargetMode="External"/><Relationship Id="rId476" Type="http://schemas.openxmlformats.org/officeDocument/2006/relationships/hyperlink" Target="https://www.zapopan.gob.mx/repositorio/view/file/ieasl2ex3wjz9v6dltfz/CONTRATO_340-17_Censurado.pdf" TargetMode="External"/><Relationship Id="rId33" Type="http://schemas.openxmlformats.org/officeDocument/2006/relationships/hyperlink" Target="https://www.zapopan.gob.mx/repositorio/view/file/z8kge3ede9aktcrpmqfo/CONTRATO%20AD-179-2018_Redacted.pdf" TargetMode="External"/><Relationship Id="rId129" Type="http://schemas.openxmlformats.org/officeDocument/2006/relationships/hyperlink" Target="https://www.zapopan.gob.mx/repositorio/view/file/61jdtefk3htmlki5wsup/004-2016.pdf" TargetMode="External"/><Relationship Id="rId280" Type="http://schemas.openxmlformats.org/officeDocument/2006/relationships/hyperlink" Target="https://www.zapopan.gob.mx/repositorio/view/file/jumbjcgmrlhwcytbnqtb/CONTRATO_178-16_Censurado.pdf" TargetMode="External"/><Relationship Id="rId336" Type="http://schemas.openxmlformats.org/officeDocument/2006/relationships/hyperlink" Target="https://www.zapopan.gob.mx/repositorio/view/file/2dxhih6knbkftspi1c5h/263-2016.pdf" TargetMode="External"/><Relationship Id="rId501" Type="http://schemas.openxmlformats.org/officeDocument/2006/relationships/hyperlink" Target="https://www.zapopan.gob.mx/wp-content/uploads/2021/05/Contrato_142_2016_VP.pdf" TargetMode="External"/><Relationship Id="rId75" Type="http://schemas.openxmlformats.org/officeDocument/2006/relationships/hyperlink" Target="https://www.zapopan.gob.mx/repositorio/view/file/lu98e2ve1wl7vjnwr5xf/CONTRATO_115-18_Censurado.pdf" TargetMode="External"/><Relationship Id="rId140" Type="http://schemas.openxmlformats.org/officeDocument/2006/relationships/hyperlink" Target="https://www.zapopan.gob.mx/repositorio/view/file/fop1lleg8bkbahqdcisx/206-2016.pdf" TargetMode="External"/><Relationship Id="rId182" Type="http://schemas.openxmlformats.org/officeDocument/2006/relationships/hyperlink" Target="https://www.zapopan.gob.mx/repositorio/view/file/vjinr89rtpjvogwkspca/CONTRATO_039-18_Censurado.pdf" TargetMode="External"/><Relationship Id="rId378" Type="http://schemas.openxmlformats.org/officeDocument/2006/relationships/hyperlink" Target="https://www.zapopan.gob.mx/repositorio/view/file/hfwvviinxg0nxl99h3rb/204-2016.pdf" TargetMode="External"/><Relationship Id="rId403" Type="http://schemas.openxmlformats.org/officeDocument/2006/relationships/hyperlink" Target="https://www.zapopan.gob.mx/repositorio/view/file/uv2nylhpaev5elxbhdho/CONTRATO_355-17_Censurado.pdf" TargetMode="External"/><Relationship Id="rId6" Type="http://schemas.openxmlformats.org/officeDocument/2006/relationships/hyperlink" Target="https://www.zapopan.gob.mx/repositorio/view/file/avdo2srauk7u81iu9ovx/CONTRATO_285-18_Censurado.pdf" TargetMode="External"/><Relationship Id="rId238" Type="http://schemas.openxmlformats.org/officeDocument/2006/relationships/hyperlink" Target="https://www.zapopan.gob.mx/repositorio/view/file/we74b7rzk6wtbg9dd1fi/CONTRATO%20148%202018-CENSURADO.pdf" TargetMode="External"/><Relationship Id="rId445" Type="http://schemas.openxmlformats.org/officeDocument/2006/relationships/hyperlink" Target="https://www.zapopan.gob.mx/repositorio/view/file/1sns0ygf4ojpxwir6ghi/CONTRATO_369-17_Censurado.pdf" TargetMode="External"/><Relationship Id="rId487" Type="http://schemas.openxmlformats.org/officeDocument/2006/relationships/hyperlink" Target="https://www.zapopan.gob.mx/repositorio/view/file/ma9zjjo4grntprjas5ff/CONTRATO_345-17_Censurado.pdf" TargetMode="External"/><Relationship Id="rId291" Type="http://schemas.openxmlformats.org/officeDocument/2006/relationships/hyperlink" Target="https://www.zapopan.gob.mx/repositorio/view/file/8n239d4ziljssg4zbsbf/CONTRATO_196-16_Censurado.pdf" TargetMode="External"/><Relationship Id="rId305" Type="http://schemas.openxmlformats.org/officeDocument/2006/relationships/hyperlink" Target="https://www.zapopan.gob.mx/repositorio/view/file/zw1yecqkvkotkuus5vu2/159-2016.pdf" TargetMode="External"/><Relationship Id="rId347" Type="http://schemas.openxmlformats.org/officeDocument/2006/relationships/hyperlink" Target="https://www.zapopan.gob.mx/repositorio/view/file/pryoo2kc134p8mzcxhiy/281-2016.pdf" TargetMode="External"/><Relationship Id="rId44" Type="http://schemas.openxmlformats.org/officeDocument/2006/relationships/hyperlink" Target="https://www.zapopan.gob.mx/repositorio/view/file/wkez4fraoqoocjobwugq/CONTRATO%20156-2018_Censurado.pdf" TargetMode="External"/><Relationship Id="rId86" Type="http://schemas.openxmlformats.org/officeDocument/2006/relationships/hyperlink" Target="https://www.zapopan.gob.mx/repositorio/view/file/indmsuqnvk0qkjitgdjy/CONTRATO_020-18_Censurado.pdf" TargetMode="External"/><Relationship Id="rId151" Type="http://schemas.openxmlformats.org/officeDocument/2006/relationships/hyperlink" Target="https://www.zapopan.gob.mx/repositorio/view/file/sasi2xa4pg38irggmi1c/038-2016.pdf" TargetMode="External"/><Relationship Id="rId389" Type="http://schemas.openxmlformats.org/officeDocument/2006/relationships/hyperlink" Target="https://www.zapopan.gob.mx/repositorio/view/file/cxtkstz7hlvss1sgfypt/CONTRATO_275-17_Censurado.pdf" TargetMode="External"/><Relationship Id="rId193" Type="http://schemas.openxmlformats.org/officeDocument/2006/relationships/hyperlink" Target="https://www.zapopan.gob.mx/repositorio/view/file/3tkzx1sipy6kct9tdqab/CONTRATO_051-18_Censurado.pdf" TargetMode="External"/><Relationship Id="rId207" Type="http://schemas.openxmlformats.org/officeDocument/2006/relationships/hyperlink" Target="https://www.zapopan.gob.mx/repositorio/view/file/yxkdsazcijvp7wtxiu1r/CONTRATO%20068-2018-CENSURADO.pdf" TargetMode="External"/><Relationship Id="rId249" Type="http://schemas.openxmlformats.org/officeDocument/2006/relationships/hyperlink" Target="https://www.zapopan.gob.mx/repositorio/view/file/gdrca9ednhnv9lokcxfq/Contrato_201-18_Censurado.pdf" TargetMode="External"/><Relationship Id="rId414" Type="http://schemas.openxmlformats.org/officeDocument/2006/relationships/hyperlink" Target="https://www.zapopan.gob.mx/repositorio/view/file/jkbwuwhejd3iwtvs95fs/CONTRATO_212-17_Censurado.pdf" TargetMode="External"/><Relationship Id="rId456" Type="http://schemas.openxmlformats.org/officeDocument/2006/relationships/hyperlink" Target="https://www.zapopan.gob.mx/repositorio/view/file/rlqrg1xwlgf4pcjvcucx/062-2017.pdf" TargetMode="External"/><Relationship Id="rId498" Type="http://schemas.openxmlformats.org/officeDocument/2006/relationships/hyperlink" Target="https://www.zapopan.gob.mx/wp-content/uploads/2021/05/Contrato_017_2016_VP.pdf" TargetMode="External"/><Relationship Id="rId13" Type="http://schemas.openxmlformats.org/officeDocument/2006/relationships/hyperlink" Target="https://www.zapopan.gob.mx/repositorio/view/file/pfieiarm8w87rkj8m636/CONTRATO_239-18_Censurado.pdf" TargetMode="External"/><Relationship Id="rId109" Type="http://schemas.openxmlformats.org/officeDocument/2006/relationships/hyperlink" Target="https://www.zapopan.gob.mx/repositorio/view/file/kewaf0hvematz22ksymy/280-2017.pdf" TargetMode="External"/><Relationship Id="rId260" Type="http://schemas.openxmlformats.org/officeDocument/2006/relationships/hyperlink" Target="https://www.zapopan.gob.mx/wp-content/uploads/2019/08/CONTRATO_052-18_Censurado.pdf" TargetMode="External"/><Relationship Id="rId316" Type="http://schemas.openxmlformats.org/officeDocument/2006/relationships/hyperlink" Target="https://www.zapopan.gob.mx/repositorio/view/file/cc8etkdaey3hq5lkdrp0/221-2016.pdf" TargetMode="External"/><Relationship Id="rId55" Type="http://schemas.openxmlformats.org/officeDocument/2006/relationships/hyperlink" Target="https://www.zapopan.gob.mx/repositorio/view/file/xsiojysskvelnzpsvqde/CONTRATO%20136-2018-CENSURADO.pdf" TargetMode="External"/><Relationship Id="rId97" Type="http://schemas.openxmlformats.org/officeDocument/2006/relationships/hyperlink" Target="https://www.zapopan.gob.mx/repositorio/view/file/chqovl1ithj4ngklh9ob/CONTRATO_009-18_Censurado.pdf" TargetMode="External"/><Relationship Id="rId120" Type="http://schemas.openxmlformats.org/officeDocument/2006/relationships/hyperlink" Target="https://www.zapopan.gob.mx/repositorio/view/file/6sgvyj4r4cipirquzcwe/201-2016.pdf" TargetMode="External"/><Relationship Id="rId358" Type="http://schemas.openxmlformats.org/officeDocument/2006/relationships/hyperlink" Target="https://www.zapopan.gob.mx/repositorio/view/file/iun46eusulxraf6hp4v1/090-2016.pdf" TargetMode="External"/><Relationship Id="rId162" Type="http://schemas.openxmlformats.org/officeDocument/2006/relationships/hyperlink" Target="http://www.zapopan.gob.mx/wp-content/uploads/2017/09/001_16.pdf" TargetMode="External"/><Relationship Id="rId218" Type="http://schemas.openxmlformats.org/officeDocument/2006/relationships/hyperlink" Target="https://www.zapopan.gob.mx/repositorio/view/file/06o3q9ihwhcqo2mbgpjd/CONTRATO%20082%202018_Censurado.pdf" TargetMode="External"/><Relationship Id="rId425" Type="http://schemas.openxmlformats.org/officeDocument/2006/relationships/hyperlink" Target="https://www.zapopan.gob.mx/repositorio/view/file/yqklgtxhtp6iylbhgdyp/CONTRATO_130-17_Censurado.pdf" TargetMode="External"/><Relationship Id="rId467" Type="http://schemas.openxmlformats.org/officeDocument/2006/relationships/hyperlink" Target="https://www.zapopan.gob.mx/repositorio/view/file/9wpg5yxigycmoqbevoqn/339_2017.pdf" TargetMode="External"/><Relationship Id="rId271" Type="http://schemas.openxmlformats.org/officeDocument/2006/relationships/hyperlink" Target="https://www.zapopan.gob.mx/repositorio/view/file/nuepgbjhhwaghqornzww/CONTRATO%20(065-2016)%20BREYSA.pdf" TargetMode="External"/><Relationship Id="rId24" Type="http://schemas.openxmlformats.org/officeDocument/2006/relationships/hyperlink" Target="https://www.zapopan.gob.mx/repositorio/view/file/uxdzyht3aguylr6pyvo4/CONTRATO_212-18_Censurado.pdf" TargetMode="External"/><Relationship Id="rId66" Type="http://schemas.openxmlformats.org/officeDocument/2006/relationships/hyperlink" Target="https://www.zapopan.gob.mx/repositorio/view/file/37bgdypqhwi5qtp6fkwh/CONTRATO_124-18_Censurado.pdf" TargetMode="External"/><Relationship Id="rId131" Type="http://schemas.openxmlformats.org/officeDocument/2006/relationships/hyperlink" Target="https://www.zapopan.gob.mx/repositorio/view/file/vccej5o1m0cr77l2xvej/232-2016.pdf" TargetMode="External"/><Relationship Id="rId327" Type="http://schemas.openxmlformats.org/officeDocument/2006/relationships/hyperlink" Target="https://www.zapopan.gob.mx/repositorio/view/file/qmjnukwddzuw4t6frrxv/253-2016.pdf" TargetMode="External"/><Relationship Id="rId369" Type="http://schemas.openxmlformats.org/officeDocument/2006/relationships/hyperlink" Target="https://www.zapopan.gob.mx/repositorio/view/file/iqjxd42rczzc3ykgioxb/115-2016.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898"/>
  <sheetViews>
    <sheetView tabSelected="1" topLeftCell="B1" zoomScaleNormal="100" zoomScaleSheetLayoutView="100" workbookViewId="0">
      <selection activeCell="F6" sqref="F6"/>
    </sheetView>
  </sheetViews>
  <sheetFormatPr baseColWidth="10" defaultColWidth="11.42578125" defaultRowHeight="15"/>
  <cols>
    <col min="1" max="1" width="5.42578125" style="4" hidden="1" customWidth="1"/>
    <col min="2" max="2" width="12.7109375" style="1" customWidth="1"/>
    <col min="3" max="3" width="20.7109375" style="2" customWidth="1"/>
    <col min="4" max="4" width="29.42578125" style="2" customWidth="1"/>
    <col min="5" max="5" width="15.7109375" style="2" customWidth="1"/>
    <col min="6" max="6" width="40.7109375" style="2" customWidth="1"/>
    <col min="7" max="7" width="23.42578125" style="2" customWidth="1"/>
    <col min="8" max="8" width="20.7109375" style="2" customWidth="1"/>
    <col min="9" max="9" width="18.28515625" style="2" customWidth="1"/>
    <col min="10" max="12" width="15.7109375" style="2" customWidth="1"/>
    <col min="13" max="13" width="32.7109375" style="2" customWidth="1"/>
    <col min="14" max="15" width="18.7109375" style="2" customWidth="1"/>
    <col min="16" max="16" width="18.7109375" style="3" customWidth="1"/>
    <col min="17" max="20" width="18.7109375" style="2" customWidth="1"/>
    <col min="21" max="21" width="28.7109375" style="2" customWidth="1"/>
    <col min="22" max="22" width="20.7109375" style="3" customWidth="1"/>
    <col min="23" max="27" width="20.7109375" style="2" customWidth="1"/>
    <col min="28" max="28" width="42.7109375" style="2" customWidth="1"/>
    <col min="29" max="29" width="39.7109375" style="2" customWidth="1"/>
    <col min="30" max="30" width="50.42578125" style="2" customWidth="1"/>
    <col min="31" max="16384" width="11.42578125" style="8"/>
  </cols>
  <sheetData>
    <row r="1" spans="1:30" ht="30" customHeight="1">
      <c r="A1"/>
      <c r="B1" s="44" t="s">
        <v>0</v>
      </c>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6"/>
    </row>
    <row r="2" spans="1:30" ht="30" customHeight="1">
      <c r="A2"/>
      <c r="B2" s="47" t="s">
        <v>1</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9"/>
    </row>
    <row r="3" spans="1:30" ht="30" customHeight="1">
      <c r="A3"/>
      <c r="B3" s="50" t="s">
        <v>2</v>
      </c>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2"/>
    </row>
    <row r="4" spans="1:30" ht="30" customHeight="1">
      <c r="A4" s="54" t="s">
        <v>1407</v>
      </c>
      <c r="B4" s="53" t="s">
        <v>3</v>
      </c>
      <c r="C4" s="53" t="s">
        <v>4</v>
      </c>
      <c r="D4" s="53" t="s">
        <v>5</v>
      </c>
      <c r="E4" s="53" t="s">
        <v>6</v>
      </c>
      <c r="F4" s="53" t="s">
        <v>7</v>
      </c>
      <c r="G4" s="53" t="s">
        <v>8</v>
      </c>
      <c r="H4" s="53" t="s">
        <v>9</v>
      </c>
      <c r="I4" s="53" t="s">
        <v>10</v>
      </c>
      <c r="J4" s="53" t="s">
        <v>11</v>
      </c>
      <c r="K4" s="53"/>
      <c r="L4" s="53"/>
      <c r="M4" s="53"/>
      <c r="N4" s="53"/>
      <c r="O4" s="53" t="s">
        <v>12</v>
      </c>
      <c r="P4" s="53" t="s">
        <v>13</v>
      </c>
      <c r="Q4" s="53" t="s">
        <v>14</v>
      </c>
      <c r="R4" s="53" t="s">
        <v>15</v>
      </c>
      <c r="S4" s="53" t="s">
        <v>16</v>
      </c>
      <c r="T4" s="53" t="s">
        <v>17</v>
      </c>
      <c r="U4" s="53" t="s">
        <v>18</v>
      </c>
      <c r="V4" s="53" t="s">
        <v>19</v>
      </c>
      <c r="W4" s="53" t="s">
        <v>20</v>
      </c>
      <c r="X4" s="53"/>
      <c r="Y4" s="53" t="s">
        <v>21</v>
      </c>
      <c r="Z4" s="53"/>
      <c r="AA4" s="53"/>
      <c r="AB4" s="53" t="s">
        <v>22</v>
      </c>
      <c r="AC4" s="53" t="s">
        <v>23</v>
      </c>
      <c r="AD4" s="53" t="s">
        <v>1345</v>
      </c>
    </row>
    <row r="5" spans="1:30" ht="30" customHeight="1">
      <c r="A5" s="54"/>
      <c r="B5" s="53"/>
      <c r="C5" s="53"/>
      <c r="D5" s="53"/>
      <c r="E5" s="53"/>
      <c r="F5" s="53"/>
      <c r="G5" s="53"/>
      <c r="H5" s="53"/>
      <c r="I5" s="53"/>
      <c r="J5" s="5" t="s">
        <v>24</v>
      </c>
      <c r="K5" s="5" t="s">
        <v>25</v>
      </c>
      <c r="L5" s="5" t="s">
        <v>26</v>
      </c>
      <c r="M5" s="5" t="s">
        <v>27</v>
      </c>
      <c r="N5" s="5" t="s">
        <v>28</v>
      </c>
      <c r="O5" s="53"/>
      <c r="P5" s="53"/>
      <c r="Q5" s="53"/>
      <c r="R5" s="53"/>
      <c r="S5" s="53"/>
      <c r="T5" s="53"/>
      <c r="U5" s="53"/>
      <c r="V5" s="53"/>
      <c r="W5" s="33" t="s">
        <v>29</v>
      </c>
      <c r="X5" s="33" t="s">
        <v>30</v>
      </c>
      <c r="Y5" s="5" t="s">
        <v>24</v>
      </c>
      <c r="Z5" s="5" t="s">
        <v>25</v>
      </c>
      <c r="AA5" s="5" t="s">
        <v>26</v>
      </c>
      <c r="AB5" s="53"/>
      <c r="AC5" s="53"/>
      <c r="AD5" s="53"/>
    </row>
    <row r="6" spans="1:30" ht="69.95" customHeight="1">
      <c r="A6" s="34">
        <v>230</v>
      </c>
      <c r="B6" s="17">
        <v>2015</v>
      </c>
      <c r="C6" s="7" t="s">
        <v>31</v>
      </c>
      <c r="D6" s="6" t="s">
        <v>32</v>
      </c>
      <c r="E6" s="10">
        <v>42366</v>
      </c>
      <c r="F6" s="6" t="s">
        <v>33</v>
      </c>
      <c r="G6" s="6" t="s">
        <v>3307</v>
      </c>
      <c r="H6" s="39">
        <v>4343074.72</v>
      </c>
      <c r="I6" s="6" t="s">
        <v>34</v>
      </c>
      <c r="J6" s="6" t="s">
        <v>35</v>
      </c>
      <c r="K6" s="7" t="s">
        <v>36</v>
      </c>
      <c r="L6" s="7" t="s">
        <v>37</v>
      </c>
      <c r="M6" s="6" t="s">
        <v>38</v>
      </c>
      <c r="N6" s="7" t="s">
        <v>39</v>
      </c>
      <c r="O6" s="11">
        <v>4343074.72</v>
      </c>
      <c r="P6" s="11">
        <v>4181868.08</v>
      </c>
      <c r="Q6" s="7" t="s">
        <v>40</v>
      </c>
      <c r="R6" s="11">
        <f>O6/180</f>
        <v>24128.192888888887</v>
      </c>
      <c r="S6" s="7" t="s">
        <v>41</v>
      </c>
      <c r="T6" s="7">
        <v>3990</v>
      </c>
      <c r="U6" s="13" t="s">
        <v>42</v>
      </c>
      <c r="V6" s="7" t="s">
        <v>43</v>
      </c>
      <c r="W6" s="10">
        <v>42367</v>
      </c>
      <c r="X6" s="10">
        <v>42415</v>
      </c>
      <c r="Y6" s="7" t="s">
        <v>44</v>
      </c>
      <c r="Z6" s="7" t="s">
        <v>45</v>
      </c>
      <c r="AA6" s="7" t="s">
        <v>46</v>
      </c>
      <c r="AB6" s="21" t="s">
        <v>2917</v>
      </c>
      <c r="AC6" s="6" t="s">
        <v>2438</v>
      </c>
      <c r="AD6" s="28"/>
    </row>
    <row r="7" spans="1:30" ht="69.95" customHeight="1">
      <c r="A7" s="34">
        <v>231</v>
      </c>
      <c r="B7" s="7">
        <v>2015</v>
      </c>
      <c r="C7" s="7" t="s">
        <v>31</v>
      </c>
      <c r="D7" s="6" t="s">
        <v>47</v>
      </c>
      <c r="E7" s="10">
        <v>42366</v>
      </c>
      <c r="F7" s="6" t="s">
        <v>48</v>
      </c>
      <c r="G7" s="6" t="s">
        <v>3307</v>
      </c>
      <c r="H7" s="39">
        <v>5023261.3100000005</v>
      </c>
      <c r="I7" s="6" t="s">
        <v>49</v>
      </c>
      <c r="J7" s="6" t="s">
        <v>35</v>
      </c>
      <c r="K7" s="7" t="s">
        <v>36</v>
      </c>
      <c r="L7" s="7" t="s">
        <v>37</v>
      </c>
      <c r="M7" s="6" t="s">
        <v>38</v>
      </c>
      <c r="N7" s="7" t="s">
        <v>39</v>
      </c>
      <c r="O7" s="11">
        <v>3769025.04</v>
      </c>
      <c r="P7" s="11">
        <v>4491794.4380000001</v>
      </c>
      <c r="Q7" s="7" t="s">
        <v>50</v>
      </c>
      <c r="R7" s="11">
        <f>O7</f>
        <v>3769025.04</v>
      </c>
      <c r="S7" s="7" t="s">
        <v>41</v>
      </c>
      <c r="T7" s="7">
        <v>700</v>
      </c>
      <c r="U7" s="13" t="s">
        <v>42</v>
      </c>
      <c r="V7" s="7" t="s">
        <v>43</v>
      </c>
      <c r="W7" s="10">
        <v>42367</v>
      </c>
      <c r="X7" s="10">
        <v>42415</v>
      </c>
      <c r="Y7" s="7" t="s">
        <v>44</v>
      </c>
      <c r="Z7" s="7" t="s">
        <v>45</v>
      </c>
      <c r="AA7" s="7" t="s">
        <v>46</v>
      </c>
      <c r="AB7" s="21" t="s">
        <v>1342</v>
      </c>
      <c r="AC7" s="6" t="s">
        <v>2438</v>
      </c>
      <c r="AD7" s="6"/>
    </row>
    <row r="8" spans="1:30" ht="69.95" customHeight="1">
      <c r="A8" s="34">
        <v>232</v>
      </c>
      <c r="B8" s="17">
        <v>2015</v>
      </c>
      <c r="C8" s="7" t="s">
        <v>31</v>
      </c>
      <c r="D8" s="6" t="s">
        <v>51</v>
      </c>
      <c r="E8" s="10">
        <v>42366</v>
      </c>
      <c r="F8" s="6" t="s">
        <v>52</v>
      </c>
      <c r="G8" s="6" t="s">
        <v>3307</v>
      </c>
      <c r="H8" s="39">
        <v>1945590.49</v>
      </c>
      <c r="I8" s="6" t="s">
        <v>53</v>
      </c>
      <c r="J8" s="6" t="s">
        <v>54</v>
      </c>
      <c r="K8" s="7" t="s">
        <v>55</v>
      </c>
      <c r="L8" s="7" t="s">
        <v>56</v>
      </c>
      <c r="M8" s="6" t="s">
        <v>2924</v>
      </c>
      <c r="N8" s="7" t="s">
        <v>57</v>
      </c>
      <c r="O8" s="11">
        <v>1945590.49</v>
      </c>
      <c r="P8" s="11">
        <v>1542798.1047999999</v>
      </c>
      <c r="Q8" s="7" t="s">
        <v>58</v>
      </c>
      <c r="R8" s="11">
        <f>O8/1410</f>
        <v>1379.8514113475178</v>
      </c>
      <c r="S8" s="7" t="s">
        <v>41</v>
      </c>
      <c r="T8" s="7">
        <v>1262</v>
      </c>
      <c r="U8" s="13" t="s">
        <v>42</v>
      </c>
      <c r="V8" s="7" t="s">
        <v>43</v>
      </c>
      <c r="W8" s="10">
        <v>42367</v>
      </c>
      <c r="X8" s="10">
        <v>42400</v>
      </c>
      <c r="Y8" s="7" t="s">
        <v>59</v>
      </c>
      <c r="Z8" s="7" t="s">
        <v>60</v>
      </c>
      <c r="AA8" s="7" t="s">
        <v>61</v>
      </c>
      <c r="AB8" s="21" t="s">
        <v>1344</v>
      </c>
      <c r="AC8" s="21" t="s">
        <v>1343</v>
      </c>
      <c r="AD8" s="7"/>
    </row>
    <row r="9" spans="1:30" ht="69.95" customHeight="1">
      <c r="A9" s="34">
        <v>236</v>
      </c>
      <c r="B9" s="7">
        <v>2015</v>
      </c>
      <c r="C9" s="7" t="s">
        <v>62</v>
      </c>
      <c r="D9" s="6" t="str">
        <f>'[1]V, inciso o) (OP)'!C7</f>
        <v>DOPI-MUN-IN-AD-236-2015</v>
      </c>
      <c r="E9" s="10">
        <f>'[1]V, inciso o) (OP)'!V7</f>
        <v>42356</v>
      </c>
      <c r="F9" s="6" t="str">
        <f>'[1]V, inciso o) (OP)'!AA7</f>
        <v>Construcción de puente peatonal, guarniciones y banquetas en la colonia Villa de Guadalupe, Municipio de Zapopan, Jalisco.</v>
      </c>
      <c r="G9" s="6" t="s">
        <v>63</v>
      </c>
      <c r="H9" s="39">
        <v>732176.24</v>
      </c>
      <c r="I9" s="6" t="s">
        <v>64</v>
      </c>
      <c r="J9" s="6" t="str">
        <f>'[1]V, inciso o) (OP)'!G7</f>
        <v xml:space="preserve">Carlos Humberto </v>
      </c>
      <c r="K9" s="7" t="str">
        <f>'[1]V, inciso o) (OP)'!H7</f>
        <v>Barragán</v>
      </c>
      <c r="L9" s="7" t="str">
        <f>'[1]V, inciso o) (OP)'!I7</f>
        <v>Fonseca</v>
      </c>
      <c r="M9" s="6" t="s">
        <v>2925</v>
      </c>
      <c r="N9" s="6" t="str">
        <f>'[1]V, inciso o) (OP)'!K7</f>
        <v>GCI9305175H8</v>
      </c>
      <c r="O9" s="11">
        <f t="shared" ref="O9:O41" si="0">H9</f>
        <v>732176.24</v>
      </c>
      <c r="P9" s="11">
        <v>620948.87</v>
      </c>
      <c r="Q9" s="7" t="s">
        <v>65</v>
      </c>
      <c r="R9" s="11">
        <f>O9/31</f>
        <v>23618.588387096774</v>
      </c>
      <c r="S9" s="7" t="s">
        <v>41</v>
      </c>
      <c r="T9" s="7">
        <v>437</v>
      </c>
      <c r="U9" s="13" t="s">
        <v>42</v>
      </c>
      <c r="V9" s="7" t="s">
        <v>43</v>
      </c>
      <c r="W9" s="10">
        <f>'[1]V, inciso o) (OP)'!AD7</f>
        <v>42360</v>
      </c>
      <c r="X9" s="10">
        <f>'[1]V, inciso o) (OP)'!AE7</f>
        <v>42400</v>
      </c>
      <c r="Y9" s="7" t="s">
        <v>66</v>
      </c>
      <c r="Z9" s="7" t="s">
        <v>67</v>
      </c>
      <c r="AA9" s="7" t="s">
        <v>68</v>
      </c>
      <c r="AB9" s="21" t="s">
        <v>2918</v>
      </c>
      <c r="AC9" s="6" t="s">
        <v>2438</v>
      </c>
      <c r="AD9" s="6"/>
    </row>
    <row r="10" spans="1:30" ht="69.95" customHeight="1">
      <c r="A10" s="34">
        <v>237</v>
      </c>
      <c r="B10" s="17">
        <v>2015</v>
      </c>
      <c r="C10" s="7" t="s">
        <v>62</v>
      </c>
      <c r="D10" s="6" t="str">
        <f>'[1]V, inciso o) (OP)'!C8</f>
        <v>DOPI-MUN-IN-AD-237-2015</v>
      </c>
      <c r="E10" s="10">
        <f>'[1]V, inciso o) (OP)'!V8</f>
        <v>42356</v>
      </c>
      <c r="F10" s="6" t="str">
        <f>'[1]V, inciso o) (OP)'!AA8</f>
        <v>Adecuación de la Academia de Polícia, primera etapa, Municipio de Zapopan, Jalisco.</v>
      </c>
      <c r="G10" s="6" t="s">
        <v>63</v>
      </c>
      <c r="H10" s="39">
        <v>1479664.22</v>
      </c>
      <c r="I10" s="6" t="s">
        <v>69</v>
      </c>
      <c r="J10" s="6" t="str">
        <f>'[1]V, inciso o) (OP)'!G8</f>
        <v>Luis Reynaldo</v>
      </c>
      <c r="K10" s="7" t="str">
        <f>'[1]V, inciso o) (OP)'!H8</f>
        <v>Galván</v>
      </c>
      <c r="L10" s="7" t="str">
        <f>'[1]V, inciso o) (OP)'!I8</f>
        <v>Bermejo</v>
      </c>
      <c r="M10" s="6" t="s">
        <v>2926</v>
      </c>
      <c r="N10" s="6" t="str">
        <f>'[1]V, inciso o) (OP)'!K8</f>
        <v>GAC051206TQ3</v>
      </c>
      <c r="O10" s="11">
        <f t="shared" si="0"/>
        <v>1479664.22</v>
      </c>
      <c r="P10" s="11">
        <v>1469715.3467999999</v>
      </c>
      <c r="Q10" s="7" t="s">
        <v>70</v>
      </c>
      <c r="R10" s="11">
        <f>O10/1815</f>
        <v>815.24199449035814</v>
      </c>
      <c r="S10" s="7" t="s">
        <v>41</v>
      </c>
      <c r="T10" s="7">
        <v>750</v>
      </c>
      <c r="U10" s="13" t="s">
        <v>42</v>
      </c>
      <c r="V10" s="7" t="s">
        <v>43</v>
      </c>
      <c r="W10" s="10">
        <f>'[1]V, inciso o) (OP)'!AD8</f>
        <v>42360</v>
      </c>
      <c r="X10" s="10">
        <f>'[1]V, inciso o) (OP)'!AE8</f>
        <v>42400</v>
      </c>
      <c r="Y10" s="7" t="s">
        <v>71</v>
      </c>
      <c r="Z10" s="7" t="s">
        <v>72</v>
      </c>
      <c r="AA10" s="7" t="s">
        <v>73</v>
      </c>
      <c r="AB10" s="21" t="s">
        <v>2919</v>
      </c>
      <c r="AC10" s="6" t="s">
        <v>2438</v>
      </c>
      <c r="AD10" s="6"/>
    </row>
    <row r="11" spans="1:30" ht="69.95" customHeight="1">
      <c r="A11" s="34">
        <v>238</v>
      </c>
      <c r="B11" s="7">
        <v>2015</v>
      </c>
      <c r="C11" s="7" t="s">
        <v>62</v>
      </c>
      <c r="D11" s="6" t="str">
        <f>'[1]V, inciso o) (OP)'!C9</f>
        <v>DOPI-MUN-AD-238-2015</v>
      </c>
      <c r="E11" s="10">
        <f>'[1]V, inciso o) (OP)'!V9</f>
        <v>42388</v>
      </c>
      <c r="F11" s="6" t="str">
        <f>'[1]V, inciso o) (OP)'!AA9</f>
        <v>Construcción de línea de drenaje sanitario y descargas domiciliarias en la calle Comitl de la calle Ozomatli a calle Michi, Municipio de Zapopan Jalisco.</v>
      </c>
      <c r="G11" s="6" t="s">
        <v>63</v>
      </c>
      <c r="H11" s="39">
        <v>148758.56</v>
      </c>
      <c r="I11" s="6" t="s">
        <v>74</v>
      </c>
      <c r="J11" s="6" t="str">
        <f>'[1]V, inciso o) (OP)'!G9</f>
        <v>José de Jesús</v>
      </c>
      <c r="K11" s="7" t="str">
        <f>'[1]V, inciso o) (OP)'!H9</f>
        <v>Castillo</v>
      </c>
      <c r="L11" s="7" t="str">
        <f>'[1]V, inciso o) (OP)'!I9</f>
        <v>Carrillo</v>
      </c>
      <c r="M11" s="6" t="s">
        <v>2927</v>
      </c>
      <c r="N11" s="6" t="str">
        <f>'[1]V, inciso o) (OP)'!K9</f>
        <v>MOP080610I53</v>
      </c>
      <c r="O11" s="11">
        <f t="shared" si="0"/>
        <v>148758.56</v>
      </c>
      <c r="P11" s="11">
        <v>142764.35999999999</v>
      </c>
      <c r="Q11" s="7" t="s">
        <v>75</v>
      </c>
      <c r="R11" s="11">
        <f>O11/53</f>
        <v>2806.7652830188681</v>
      </c>
      <c r="S11" s="7" t="s">
        <v>41</v>
      </c>
      <c r="T11" s="7">
        <v>165</v>
      </c>
      <c r="U11" s="13" t="s">
        <v>42</v>
      </c>
      <c r="V11" s="7" t="s">
        <v>43</v>
      </c>
      <c r="W11" s="10">
        <f>'[1]V, inciso o) (OP)'!AD9</f>
        <v>42389</v>
      </c>
      <c r="X11" s="10">
        <f>'[1]V, inciso o) (OP)'!AE9</f>
        <v>42439</v>
      </c>
      <c r="Y11" s="7" t="s">
        <v>76</v>
      </c>
      <c r="Z11" s="7" t="s">
        <v>77</v>
      </c>
      <c r="AA11" s="7" t="s">
        <v>78</v>
      </c>
      <c r="AB11" s="21" t="s">
        <v>2916</v>
      </c>
      <c r="AC11" s="6" t="s">
        <v>2438</v>
      </c>
      <c r="AD11" s="6"/>
    </row>
    <row r="12" spans="1:30" ht="69.95" customHeight="1">
      <c r="A12" s="34">
        <v>239</v>
      </c>
      <c r="B12" s="17">
        <v>2015</v>
      </c>
      <c r="C12" s="7" t="s">
        <v>62</v>
      </c>
      <c r="D12" s="6" t="str">
        <f>'[1]V, inciso o) (OP)'!C10</f>
        <v>DOPI-MUN-RM-APDS-AD-239-2015</v>
      </c>
      <c r="E12" s="10">
        <f>'[1]V, inciso o) (OP)'!V10</f>
        <v>42364</v>
      </c>
      <c r="F12" s="32" t="str">
        <f>'[1]V, inciso o) (OP)'!AA10</f>
        <v>Construcción de línea de drenaje sanitario y de línea de agua potable en la calle Lic. Eliseo Orozco Gutiérrez en el tramo de la calle Prof. Idolina Gaona de Cossio a Av. Juan Gil Preciado, en la colonia Jardines de Nuevo México, municipio de Zapopan, Jalisco</v>
      </c>
      <c r="G12" s="6" t="s">
        <v>63</v>
      </c>
      <c r="H12" s="39">
        <v>1462545.61</v>
      </c>
      <c r="I12" s="6" t="s">
        <v>79</v>
      </c>
      <c r="J12" s="6" t="str">
        <f>'[1]V, inciso o) (OP)'!G10</f>
        <v>Francisco Javier</v>
      </c>
      <c r="K12" s="7" t="str">
        <f>'[1]V, inciso o) (OP)'!H10</f>
        <v>Santiago</v>
      </c>
      <c r="L12" s="7" t="str">
        <f>'[1]V, inciso o) (OP)'!I10</f>
        <v>Castro</v>
      </c>
      <c r="M12" s="6" t="s">
        <v>2929</v>
      </c>
      <c r="N12" s="6" t="str">
        <f>'[1]V, inciso o) (OP)'!K10</f>
        <v>UCO120322GL0</v>
      </c>
      <c r="O12" s="11">
        <f t="shared" si="0"/>
        <v>1462545.61</v>
      </c>
      <c r="P12" s="11">
        <v>1105049.99</v>
      </c>
      <c r="Q12" s="7" t="s">
        <v>80</v>
      </c>
      <c r="R12" s="11">
        <f>O12/315</f>
        <v>4643.001936507937</v>
      </c>
      <c r="S12" s="7" t="s">
        <v>41</v>
      </c>
      <c r="T12" s="7">
        <v>4345</v>
      </c>
      <c r="U12" s="13" t="s">
        <v>42</v>
      </c>
      <c r="V12" s="6" t="s">
        <v>43</v>
      </c>
      <c r="W12" s="10">
        <f>'[1]V, inciso o) (OP)'!AD10</f>
        <v>42366</v>
      </c>
      <c r="X12" s="10">
        <f>'[1]V, inciso o) (OP)'!AE10</f>
        <v>42434</v>
      </c>
      <c r="Y12" s="7" t="s">
        <v>81</v>
      </c>
      <c r="Z12" s="7" t="s">
        <v>82</v>
      </c>
      <c r="AA12" s="7" t="s">
        <v>83</v>
      </c>
      <c r="AB12" s="21" t="s">
        <v>2920</v>
      </c>
      <c r="AC12" s="6" t="s">
        <v>2438</v>
      </c>
      <c r="AD12" s="6"/>
    </row>
    <row r="13" spans="1:30" ht="69.95" customHeight="1">
      <c r="A13" s="34">
        <v>240</v>
      </c>
      <c r="B13" s="7">
        <v>2015</v>
      </c>
      <c r="C13" s="7" t="s">
        <v>62</v>
      </c>
      <c r="D13" s="6" t="str">
        <f>'[1]V, inciso o) (OP)'!C11</f>
        <v>DOPI-MUN-RM-APDS-AD-240-2015</v>
      </c>
      <c r="E13" s="10">
        <f>'[1]V, inciso o) (OP)'!V11</f>
        <v>42364</v>
      </c>
      <c r="F13" s="32" t="str">
        <f>'[1]V, inciso o) (OP)'!AA11</f>
        <v>Construcción de línea de drenaje sanitario y de línea de agua potable en la calle Lic. Eliseo Orozco Gutiérrez en el tramo de la calle Emiliano Zapata a calle Prof. Idolina Gaona de Cossio, en la colonia Jardines de Nuevo México, municipio de Zapopan, Jalisco</v>
      </c>
      <c r="G13" s="6" t="s">
        <v>63</v>
      </c>
      <c r="H13" s="39">
        <v>1313000.04</v>
      </c>
      <c r="I13" s="6" t="s">
        <v>79</v>
      </c>
      <c r="J13" s="6" t="str">
        <f>'[1]V, inciso o) (OP)'!G11</f>
        <v>Miguel Ángel</v>
      </c>
      <c r="K13" s="7" t="str">
        <f>'[1]V, inciso o) (OP)'!H11</f>
        <v>González</v>
      </c>
      <c r="L13" s="7" t="str">
        <f>'[1]V, inciso o) (OP)'!I11</f>
        <v>Dávila</v>
      </c>
      <c r="M13" s="6" t="s">
        <v>2928</v>
      </c>
      <c r="N13" s="6" t="str">
        <f>'[1]V, inciso o) (OP)'!K11</f>
        <v>CLE131023270</v>
      </c>
      <c r="O13" s="11">
        <f t="shared" si="0"/>
        <v>1313000.04</v>
      </c>
      <c r="P13" s="11">
        <v>1048961.5959999999</v>
      </c>
      <c r="Q13" s="7" t="s">
        <v>84</v>
      </c>
      <c r="R13" s="11">
        <f>O13/360</f>
        <v>3647.2223333333336</v>
      </c>
      <c r="S13" s="7" t="s">
        <v>41</v>
      </c>
      <c r="T13" s="7">
        <v>4345</v>
      </c>
      <c r="U13" s="13" t="s">
        <v>42</v>
      </c>
      <c r="V13" s="6" t="s">
        <v>43</v>
      </c>
      <c r="W13" s="10">
        <f>'[1]V, inciso o) (OP)'!AD11</f>
        <v>42366</v>
      </c>
      <c r="X13" s="10">
        <f>'[1]V, inciso o) (OP)'!AE11</f>
        <v>42434</v>
      </c>
      <c r="Y13" s="7" t="s">
        <v>81</v>
      </c>
      <c r="Z13" s="7" t="s">
        <v>82</v>
      </c>
      <c r="AA13" s="7" t="s">
        <v>83</v>
      </c>
      <c r="AB13" s="21" t="s">
        <v>2921</v>
      </c>
      <c r="AC13" s="6" t="s">
        <v>2438</v>
      </c>
      <c r="AD13" s="6"/>
    </row>
    <row r="14" spans="1:30" ht="69.95" customHeight="1">
      <c r="A14" s="34">
        <v>242</v>
      </c>
      <c r="B14" s="7">
        <v>2015</v>
      </c>
      <c r="C14" s="7" t="s">
        <v>62</v>
      </c>
      <c r="D14" s="6" t="str">
        <f>'[1]V, inciso o) (OP)'!C13</f>
        <v>DOPI-MUN-RM-DS-AD-242-2015</v>
      </c>
      <c r="E14" s="10">
        <f>'[1]V, inciso o) (OP)'!V13</f>
        <v>42364</v>
      </c>
      <c r="F14" s="6" t="str">
        <f>'[1]V, inciso o) (OP)'!AA13</f>
        <v>Construcción de línea de drenaje sanitario de 10", en las calles Santa Martha y Santo Santiago, en la colonia Lomas de Tabachines, municipio de Zapopan, Jalisco</v>
      </c>
      <c r="G14" s="6" t="s">
        <v>63</v>
      </c>
      <c r="H14" s="39">
        <v>883610.98</v>
      </c>
      <c r="I14" s="6" t="s">
        <v>90</v>
      </c>
      <c r="J14" s="6" t="str">
        <f>'[1]V, inciso o) (OP)'!G13</f>
        <v>Mario</v>
      </c>
      <c r="K14" s="7" t="str">
        <f>'[1]V, inciso o) (OP)'!H13</f>
        <v>Beltrán</v>
      </c>
      <c r="L14" s="7" t="str">
        <f>'[1]V, inciso o) (OP)'!I13</f>
        <v>Rodríguez</v>
      </c>
      <c r="M14" s="6" t="s">
        <v>2930</v>
      </c>
      <c r="N14" s="6" t="str">
        <f>'[1]V, inciso o) (OP)'!K13</f>
        <v>CDB0506068Z4</v>
      </c>
      <c r="O14" s="11">
        <f t="shared" si="0"/>
        <v>883610.98</v>
      </c>
      <c r="P14" s="11">
        <v>652820.30000000005</v>
      </c>
      <c r="Q14" s="7" t="s">
        <v>91</v>
      </c>
      <c r="R14" s="11">
        <f>O14/440</f>
        <v>2008.2067727272727</v>
      </c>
      <c r="S14" s="7" t="s">
        <v>41</v>
      </c>
      <c r="T14" s="7">
        <v>435</v>
      </c>
      <c r="U14" s="13" t="s">
        <v>42</v>
      </c>
      <c r="V14" s="7" t="s">
        <v>43</v>
      </c>
      <c r="W14" s="10">
        <f>'[1]V, inciso o) (OP)'!AD13</f>
        <v>42366</v>
      </c>
      <c r="X14" s="10">
        <f>'[1]V, inciso o) (OP)'!AE13</f>
        <v>42460</v>
      </c>
      <c r="Y14" s="7" t="s">
        <v>92</v>
      </c>
      <c r="Z14" s="7" t="s">
        <v>93</v>
      </c>
      <c r="AA14" s="7" t="s">
        <v>94</v>
      </c>
      <c r="AB14" s="21" t="s">
        <v>2922</v>
      </c>
      <c r="AC14" s="6" t="s">
        <v>2438</v>
      </c>
      <c r="AD14" s="6"/>
    </row>
    <row r="15" spans="1:30" ht="69.95" customHeight="1">
      <c r="A15" s="34">
        <v>243</v>
      </c>
      <c r="B15" s="17">
        <v>2015</v>
      </c>
      <c r="C15" s="7" t="s">
        <v>62</v>
      </c>
      <c r="D15" s="6" t="str">
        <f>'[1]V, inciso o) (OP)'!C14</f>
        <v>DOPI-MUN-RM-DS-AD-243-2015</v>
      </c>
      <c r="E15" s="10">
        <f>'[1]V, inciso o) (OP)'!V14</f>
        <v>42364</v>
      </c>
      <c r="F15" s="6" t="str">
        <f>'[1]V, inciso o) (OP)'!AA14</f>
        <v>Construcción de línea de drenaje sanitario de 10", en la calle Gigante entre la calle Tabachines y El Arroyo, colonia Vicente Guerrero, municipio de Zapopan, Jalisco</v>
      </c>
      <c r="G15" s="6" t="s">
        <v>63</v>
      </c>
      <c r="H15" s="39">
        <v>83769.11</v>
      </c>
      <c r="I15" s="6" t="s">
        <v>95</v>
      </c>
      <c r="J15" s="6" t="str">
        <f>'[1]V, inciso o) (OP)'!G14</f>
        <v>Miguel Ángel</v>
      </c>
      <c r="K15" s="7" t="str">
        <f>'[1]V, inciso o) (OP)'!H14</f>
        <v>Romero</v>
      </c>
      <c r="L15" s="7" t="str">
        <f>'[1]V, inciso o) (OP)'!I14</f>
        <v>Lugo</v>
      </c>
      <c r="M15" s="6" t="s">
        <v>2931</v>
      </c>
      <c r="N15" s="6" t="str">
        <f>'[1]V, inciso o) (OP)'!K14</f>
        <v>OCC940714PB0</v>
      </c>
      <c r="O15" s="11">
        <f t="shared" si="0"/>
        <v>83769.11</v>
      </c>
      <c r="P15" s="11">
        <v>82908.240000000005</v>
      </c>
      <c r="Q15" s="7" t="s">
        <v>96</v>
      </c>
      <c r="R15" s="11">
        <f>O15/43</f>
        <v>1948.1188372093022</v>
      </c>
      <c r="S15" s="7" t="s">
        <v>41</v>
      </c>
      <c r="T15" s="7">
        <v>40</v>
      </c>
      <c r="U15" s="13" t="s">
        <v>42</v>
      </c>
      <c r="V15" s="7" t="s">
        <v>43</v>
      </c>
      <c r="W15" s="10">
        <f>'[1]V, inciso o) (OP)'!AD14</f>
        <v>42366</v>
      </c>
      <c r="X15" s="10">
        <f>'[1]V, inciso o) (OP)'!AE14</f>
        <v>42400</v>
      </c>
      <c r="Y15" s="7" t="s">
        <v>97</v>
      </c>
      <c r="Z15" s="7" t="s">
        <v>98</v>
      </c>
      <c r="AA15" s="7" t="s">
        <v>99</v>
      </c>
      <c r="AB15" s="21" t="s">
        <v>2923</v>
      </c>
      <c r="AC15" s="6" t="s">
        <v>2438</v>
      </c>
      <c r="AD15" s="6"/>
    </row>
    <row r="16" spans="1:30" ht="69.95" customHeight="1">
      <c r="A16" s="34">
        <v>1</v>
      </c>
      <c r="B16" s="7">
        <v>2016</v>
      </c>
      <c r="C16" s="7" t="s">
        <v>62</v>
      </c>
      <c r="D16" s="6" t="str">
        <f>'[1]V, inciso o) (OP)'!C15</f>
        <v>DOPI-MUN-RP-PAV-AD-001-2016</v>
      </c>
      <c r="E16" s="10">
        <f>'[1]V, inciso o) (OP)'!V15</f>
        <v>42394</v>
      </c>
      <c r="F16" s="6" t="str">
        <f>'[1]V, inciso o) (OP)'!AA15</f>
        <v>Reencarpetamiento de los carriles norte de la Avenida Acueducto del límite municipal a la Avenida Patria, incluye desbastado de la carpeta existente, Municipio de Zapopan, Jalisco</v>
      </c>
      <c r="G16" s="6" t="s">
        <v>63</v>
      </c>
      <c r="H16" s="39">
        <v>999297</v>
      </c>
      <c r="I16" s="6" t="s">
        <v>100</v>
      </c>
      <c r="J16" s="6" t="str">
        <f>'[1]V, inciso o) (OP)'!G15</f>
        <v>Guillermo</v>
      </c>
      <c r="K16" s="7" t="str">
        <f>'[1]V, inciso o) (OP)'!H15</f>
        <v>Lara</v>
      </c>
      <c r="L16" s="7" t="str">
        <f>'[1]V, inciso o) (OP)'!I15</f>
        <v>Vargas</v>
      </c>
      <c r="M16" s="6" t="s">
        <v>2932</v>
      </c>
      <c r="N16" s="6" t="str">
        <f>'[1]V, inciso o) (OP)'!K15</f>
        <v>DGL060620SUA</v>
      </c>
      <c r="O16" s="11">
        <f t="shared" si="0"/>
        <v>999297</v>
      </c>
      <c r="P16" s="11">
        <v>953158.2</v>
      </c>
      <c r="Q16" s="7" t="s">
        <v>101</v>
      </c>
      <c r="R16" s="11">
        <f>O16/1960</f>
        <v>509.84540816326529</v>
      </c>
      <c r="S16" s="7" t="s">
        <v>41</v>
      </c>
      <c r="T16" s="12">
        <v>120000</v>
      </c>
      <c r="U16" s="13" t="s">
        <v>42</v>
      </c>
      <c r="V16" s="7" t="s">
        <v>43</v>
      </c>
      <c r="W16" s="10">
        <f>'[1]V, inciso o) (OP)'!AD15</f>
        <v>42396</v>
      </c>
      <c r="X16" s="10">
        <f>'[1]V, inciso o) (OP)'!AE15</f>
        <v>42429</v>
      </c>
      <c r="Y16" s="7" t="s">
        <v>102</v>
      </c>
      <c r="Z16" s="7" t="s">
        <v>103</v>
      </c>
      <c r="AA16" s="7" t="s">
        <v>104</v>
      </c>
      <c r="AB16" s="21" t="s">
        <v>1357</v>
      </c>
      <c r="AC16" s="6" t="s">
        <v>2438</v>
      </c>
      <c r="AD16" s="42"/>
    </row>
    <row r="17" spans="1:30" ht="69.95" customHeight="1">
      <c r="A17" s="34">
        <v>2</v>
      </c>
      <c r="B17" s="7">
        <v>2016</v>
      </c>
      <c r="C17" s="7" t="s">
        <v>62</v>
      </c>
      <c r="D17" s="6" t="str">
        <f>'[1]V, inciso o) (OP)'!C16</f>
        <v>DOPI-MUN-RP-EP-AD-002-2016</v>
      </c>
      <c r="E17" s="10">
        <f>'[1]V, inciso o) (OP)'!V16</f>
        <v>42387</v>
      </c>
      <c r="F17" s="32" t="str">
        <f>'[1]V, inciso o) (OP)'!AA16</f>
        <v>Demoliciones, preliminares, rellenos, plazoletas, rampas, protección de puentes, jardinería, en espacio público recuperado ubicado en Periferico Norte, entre la preparatoria No. 10 y el CUCEA, Municipio de Zapopan, Jalisco.</v>
      </c>
      <c r="G17" s="6" t="s">
        <v>63</v>
      </c>
      <c r="H17" s="39">
        <v>1615350.24</v>
      </c>
      <c r="I17" s="6" t="s">
        <v>105</v>
      </c>
      <c r="J17" s="6" t="str">
        <f>'[1]V, inciso o) (OP)'!G16</f>
        <v>Héctor Guillermo</v>
      </c>
      <c r="K17" s="7" t="str">
        <f>'[1]V, inciso o) (OP)'!H16</f>
        <v>Castro</v>
      </c>
      <c r="L17" s="7" t="str">
        <f>'[1]V, inciso o) (OP)'!I16</f>
        <v>Gómez</v>
      </c>
      <c r="M17" s="6" t="s">
        <v>2933</v>
      </c>
      <c r="N17" s="6" t="str">
        <f>'[1]V, inciso o) (OP)'!K16</f>
        <v>ADI130522MB7</v>
      </c>
      <c r="O17" s="11">
        <f t="shared" si="0"/>
        <v>1615350.24</v>
      </c>
      <c r="P17" s="11">
        <v>1615350.24</v>
      </c>
      <c r="Q17" s="7" t="s">
        <v>106</v>
      </c>
      <c r="R17" s="11">
        <f>O17/6297</f>
        <v>256.52695569318723</v>
      </c>
      <c r="S17" s="7" t="s">
        <v>41</v>
      </c>
      <c r="T17" s="12">
        <v>25642</v>
      </c>
      <c r="U17" s="13" t="s">
        <v>42</v>
      </c>
      <c r="V17" s="7" t="s">
        <v>43</v>
      </c>
      <c r="W17" s="10">
        <f>'[1]V, inciso o) (OP)'!AD16</f>
        <v>42388</v>
      </c>
      <c r="X17" s="10">
        <f>'[1]V, inciso o) (OP)'!AE16</f>
        <v>42429</v>
      </c>
      <c r="Y17" s="7" t="s">
        <v>71</v>
      </c>
      <c r="Z17" s="7" t="s">
        <v>72</v>
      </c>
      <c r="AA17" s="7" t="s">
        <v>73</v>
      </c>
      <c r="AB17" s="21" t="s">
        <v>2568</v>
      </c>
      <c r="AC17" s="6" t="s">
        <v>2438</v>
      </c>
      <c r="AD17" s="6"/>
    </row>
    <row r="18" spans="1:30" ht="69.95" customHeight="1">
      <c r="A18" s="34">
        <v>3</v>
      </c>
      <c r="B18" s="7">
        <v>2016</v>
      </c>
      <c r="C18" s="7" t="s">
        <v>62</v>
      </c>
      <c r="D18" s="6" t="str">
        <f>'[1]V, inciso o) (OP)'!C17</f>
        <v>DOPI-MUN-RP-EP-AD-003-2016</v>
      </c>
      <c r="E18" s="10">
        <f>'[1]V, inciso o) (OP)'!V17</f>
        <v>42387</v>
      </c>
      <c r="F18" s="32" t="str">
        <f>'[1]V, inciso o) (OP)'!AA17</f>
        <v>Mobiliario urbano, instalaciones eléctricas, alumbrado, defensa metálica, topes, aproches, bolardos, señalética, en espacio público recuperado ubicado en Periferico Norte, entre la preparatoria No. 10 y el CUCEA, Municipio de Zapopan, Jalisco.</v>
      </c>
      <c r="G18" s="6" t="s">
        <v>63</v>
      </c>
      <c r="H18" s="39">
        <v>1245297.3500000001</v>
      </c>
      <c r="I18" s="6" t="s">
        <v>105</v>
      </c>
      <c r="J18" s="6" t="str">
        <f>'[1]V, inciso o) (OP)'!G17</f>
        <v>Salvador</v>
      </c>
      <c r="K18" s="7" t="str">
        <f>'[1]V, inciso o) (OP)'!H17</f>
        <v>Barragán</v>
      </c>
      <c r="L18" s="7" t="str">
        <f>'[1]V, inciso o) (OP)'!I17</f>
        <v>Fonseca</v>
      </c>
      <c r="M18" s="6" t="s">
        <v>2934</v>
      </c>
      <c r="N18" s="6" t="str">
        <f>'[1]V, inciso o) (OP)'!K17</f>
        <v>CEB961031DJ1</v>
      </c>
      <c r="O18" s="11">
        <f t="shared" si="0"/>
        <v>1245297.3500000001</v>
      </c>
      <c r="P18" s="11">
        <v>1184976.27</v>
      </c>
      <c r="Q18" s="7" t="s">
        <v>107</v>
      </c>
      <c r="R18" s="11">
        <f>O18/6297</f>
        <v>197.7604176592028</v>
      </c>
      <c r="S18" s="7" t="s">
        <v>41</v>
      </c>
      <c r="T18" s="12">
        <v>25642</v>
      </c>
      <c r="U18" s="13" t="s">
        <v>42</v>
      </c>
      <c r="V18" s="7" t="s">
        <v>43</v>
      </c>
      <c r="W18" s="10">
        <f>'[1]V, inciso o) (OP)'!AD17</f>
        <v>42388</v>
      </c>
      <c r="X18" s="10">
        <f>'[1]V, inciso o) (OP)'!AE17</f>
        <v>42429</v>
      </c>
      <c r="Y18" s="7" t="s">
        <v>71</v>
      </c>
      <c r="Z18" s="7" t="s">
        <v>72</v>
      </c>
      <c r="AA18" s="7" t="s">
        <v>73</v>
      </c>
      <c r="AB18" s="21" t="s">
        <v>1358</v>
      </c>
      <c r="AC18" s="6" t="s">
        <v>2438</v>
      </c>
      <c r="AD18" s="6"/>
    </row>
    <row r="19" spans="1:30" ht="69.95" customHeight="1">
      <c r="A19" s="34">
        <v>4</v>
      </c>
      <c r="B19" s="7">
        <v>2016</v>
      </c>
      <c r="C19" s="7" t="s">
        <v>62</v>
      </c>
      <c r="D19" s="6" t="str">
        <f>'[1]V, inciso o) (OP)'!C18</f>
        <v>DOPI-MUN-RP-CONT-AD-004-2016</v>
      </c>
      <c r="E19" s="10">
        <f>'[1]V, inciso o) (OP)'!V18</f>
        <v>42413</v>
      </c>
      <c r="F19" s="32" t="str">
        <f>'[1]V, inciso o) (OP)'!AA18</f>
        <v>Reparación de muro de contención en el arroyo seco en el tramo de López Mateos a calle Corresponsales en la colonia Periodistas; Protección de canal pluvial a base de parapetos y estructura metálica en la calle Industria Textil esquina con calle Tarragona, en la colonia Altagracia; Reposición de losas de vialidad con concreto MR-42, construcción de banquetas, guarniciones y reparación de muro de mampostería, en la colonia Jardines del Centinela, municipio de Zapopan, Jalisco</v>
      </c>
      <c r="G19" s="6" t="s">
        <v>3308</v>
      </c>
      <c r="H19" s="39">
        <v>1029282.85</v>
      </c>
      <c r="I19" s="6" t="s">
        <v>108</v>
      </c>
      <c r="J19" s="6" t="str">
        <f>'[1]V, inciso o) (OP)'!G18</f>
        <v>Bernardo</v>
      </c>
      <c r="K19" s="7" t="str">
        <f>'[1]V, inciso o) (OP)'!H18</f>
        <v>Saenz</v>
      </c>
      <c r="L19" s="7" t="str">
        <f>'[1]V, inciso o) (OP)'!I18</f>
        <v>Barba</v>
      </c>
      <c r="M19" s="6" t="s">
        <v>2935</v>
      </c>
      <c r="N19" s="6" t="str">
        <f>'[1]V, inciso o) (OP)'!K18</f>
        <v>GEM070112PX8</v>
      </c>
      <c r="O19" s="11">
        <f t="shared" si="0"/>
        <v>1029282.85</v>
      </c>
      <c r="P19" s="11">
        <v>1029282.85</v>
      </c>
      <c r="Q19" s="7" t="s">
        <v>109</v>
      </c>
      <c r="R19" s="11">
        <f>O19/781</f>
        <v>1317.9037772087067</v>
      </c>
      <c r="S19" s="7" t="s">
        <v>41</v>
      </c>
      <c r="T19" s="12">
        <v>6339</v>
      </c>
      <c r="U19" s="13" t="s">
        <v>42</v>
      </c>
      <c r="V19" s="7" t="s">
        <v>43</v>
      </c>
      <c r="W19" s="10">
        <f>'[1]V, inciso o) (OP)'!AD18</f>
        <v>42415</v>
      </c>
      <c r="X19" s="10">
        <f>'[1]V, inciso o) (OP)'!AE18</f>
        <v>42484</v>
      </c>
      <c r="Y19" s="7" t="s">
        <v>87</v>
      </c>
      <c r="Z19" s="7" t="s">
        <v>88</v>
      </c>
      <c r="AA19" s="7" t="s">
        <v>89</v>
      </c>
      <c r="AB19" s="21" t="s">
        <v>1490</v>
      </c>
      <c r="AC19" s="21" t="s">
        <v>1318</v>
      </c>
      <c r="AD19" s="7"/>
    </row>
    <row r="20" spans="1:30" ht="69.95" customHeight="1">
      <c r="A20" s="34">
        <v>5</v>
      </c>
      <c r="B20" s="7">
        <v>2016</v>
      </c>
      <c r="C20" s="7" t="s">
        <v>62</v>
      </c>
      <c r="D20" s="6" t="str">
        <f>'[1]V, inciso o) (OP)'!C19</f>
        <v>DOPI-MUN-RP-IS-AD-005-2016</v>
      </c>
      <c r="E20" s="10">
        <f>'[1]V, inciso o) (OP)'!V19</f>
        <v>42420</v>
      </c>
      <c r="F20" s="32" t="str">
        <f>'[1]V, inciso o) (OP)'!AA19</f>
        <v>Rehabilitación de quirofanos, baños en el área de encamados, baños de recepción e impermeabilizaciones en azotea en la Cruz Verde Sur las Águilas, ubicada en Av. López Mateos y calle Cruz del Sur, en la colonia Las Águilas, municipio de Zapopan, Jalisco</v>
      </c>
      <c r="G20" s="6" t="s">
        <v>63</v>
      </c>
      <c r="H20" s="39">
        <v>1480259.25</v>
      </c>
      <c r="I20" s="6" t="s">
        <v>110</v>
      </c>
      <c r="J20" s="6" t="str">
        <f>'[1]V, inciso o) (OP)'!G19</f>
        <v>Maria Teresa</v>
      </c>
      <c r="K20" s="7" t="str">
        <f>'[1]V, inciso o) (OP)'!H19</f>
        <v>Sánchez</v>
      </c>
      <c r="L20" s="7" t="str">
        <f>'[1]V, inciso o) (OP)'!I19</f>
        <v>Cabrera</v>
      </c>
      <c r="M20" s="6" t="s">
        <v>2936</v>
      </c>
      <c r="N20" s="6" t="str">
        <f>'[1]V, inciso o) (OP)'!K19</f>
        <v>SIP070803JZ8</v>
      </c>
      <c r="O20" s="11">
        <f t="shared" si="0"/>
        <v>1480259.25</v>
      </c>
      <c r="P20" s="11">
        <v>1480061.98</v>
      </c>
      <c r="Q20" s="7" t="s">
        <v>111</v>
      </c>
      <c r="R20" s="11">
        <f>O20/850</f>
        <v>1741.4814705882352</v>
      </c>
      <c r="S20" s="7" t="s">
        <v>41</v>
      </c>
      <c r="T20" s="12">
        <v>279130</v>
      </c>
      <c r="U20" s="13" t="s">
        <v>42</v>
      </c>
      <c r="V20" s="7" t="s">
        <v>43</v>
      </c>
      <c r="W20" s="10">
        <f>'[1]V, inciso o) (OP)'!AD19</f>
        <v>42422</v>
      </c>
      <c r="X20" s="10">
        <f>'[1]V, inciso o) (OP)'!AE19</f>
        <v>42505</v>
      </c>
      <c r="Y20" s="7" t="s">
        <v>71</v>
      </c>
      <c r="Z20" s="7" t="s">
        <v>72</v>
      </c>
      <c r="AA20" s="7" t="s">
        <v>73</v>
      </c>
      <c r="AB20" s="21" t="s">
        <v>1346</v>
      </c>
      <c r="AC20" s="6" t="s">
        <v>2438</v>
      </c>
      <c r="AD20" s="6"/>
    </row>
    <row r="21" spans="1:30" ht="69.95" customHeight="1">
      <c r="A21" s="34">
        <v>6</v>
      </c>
      <c r="B21" s="7">
        <v>2016</v>
      </c>
      <c r="C21" s="7" t="s">
        <v>62</v>
      </c>
      <c r="D21" s="6" t="str">
        <f>'[1]V, inciso o) (OP)'!C20</f>
        <v>DOPI-MUN-RP-IM-AD-006-2016</v>
      </c>
      <c r="E21" s="10">
        <f>'[1]V, inciso o) (OP)'!V20</f>
        <v>42420</v>
      </c>
      <c r="F21" s="32" t="str">
        <f>'[1]V, inciso o) (OP)'!AA20</f>
        <v>Reparación de bóvedas, reforzamiento de columnas de concreto, impermeabilización de azoteas, pintura interior en las instalaciones del DIF Nextipac, ubicado en la calle Venustiano Carranza esquina con calle Leona Vicario, en la localidad de Nextipac, municipio de Zapopan, Jalisco</v>
      </c>
      <c r="G21" s="6" t="s">
        <v>63</v>
      </c>
      <c r="H21" s="39">
        <v>595635.78</v>
      </c>
      <c r="I21" s="6" t="s">
        <v>112</v>
      </c>
      <c r="J21" s="6" t="str">
        <f>'[1]V, inciso o) (OP)'!G20</f>
        <v xml:space="preserve">Leobardo </v>
      </c>
      <c r="K21" s="7" t="str">
        <f>'[1]V, inciso o) (OP)'!H20</f>
        <v>Preciado</v>
      </c>
      <c r="L21" s="7" t="str">
        <f>'[1]V, inciso o) (OP)'!I20</f>
        <v>Zepeda</v>
      </c>
      <c r="M21" s="6" t="s">
        <v>2937</v>
      </c>
      <c r="N21" s="6" t="str">
        <f>'[1]V, inciso o) (OP)'!K20</f>
        <v>CCA971126QC9</v>
      </c>
      <c r="O21" s="11">
        <f t="shared" si="0"/>
        <v>595635.78</v>
      </c>
      <c r="P21" s="11">
        <v>594899</v>
      </c>
      <c r="Q21" s="7" t="s">
        <v>113</v>
      </c>
      <c r="R21" s="11">
        <f>O21/1007.23</f>
        <v>591.36024542557311</v>
      </c>
      <c r="S21" s="7" t="s">
        <v>41</v>
      </c>
      <c r="T21" s="12">
        <v>4008</v>
      </c>
      <c r="U21" s="13" t="s">
        <v>42</v>
      </c>
      <c r="V21" s="7" t="s">
        <v>43</v>
      </c>
      <c r="W21" s="10">
        <f>'[1]V, inciso o) (OP)'!AD20</f>
        <v>42422</v>
      </c>
      <c r="X21" s="10">
        <f>'[1]V, inciso o) (OP)'!AE20</f>
        <v>42484</v>
      </c>
      <c r="Y21" s="7" t="s">
        <v>114</v>
      </c>
      <c r="Z21" s="7" t="s">
        <v>115</v>
      </c>
      <c r="AA21" s="7" t="s">
        <v>116</v>
      </c>
      <c r="AB21" s="21" t="s">
        <v>1359</v>
      </c>
      <c r="AC21" s="6" t="s">
        <v>2438</v>
      </c>
      <c r="AD21" s="6"/>
    </row>
    <row r="22" spans="1:30" ht="69.95" customHeight="1">
      <c r="A22" s="34">
        <v>7</v>
      </c>
      <c r="B22" s="7">
        <v>2016</v>
      </c>
      <c r="C22" s="7" t="s">
        <v>62</v>
      </c>
      <c r="D22" s="6" t="str">
        <f>'[1]V, inciso o) (OP)'!C21</f>
        <v>DOPI-MUN-RP-REST-AD-007-2016</v>
      </c>
      <c r="E22" s="10">
        <f>'[1]V, inciso o) (OP)'!V21</f>
        <v>42420</v>
      </c>
      <c r="F22" s="6" t="str">
        <f>'[1]V, inciso o) (OP)'!AA21</f>
        <v>Restauración y reforzamiento de balcón principal y construcción de rampa de ingreso para personas con discapacidad en la presidencia municipal, municipio de Zapopan, Jalisco</v>
      </c>
      <c r="G22" s="6" t="s">
        <v>3308</v>
      </c>
      <c r="H22" s="39">
        <v>680157.27</v>
      </c>
      <c r="I22" s="6" t="s">
        <v>117</v>
      </c>
      <c r="J22" s="6" t="str">
        <f>'[1]V, inciso o) (OP)'!G21</f>
        <v>Adriana Isabel</v>
      </c>
      <c r="K22" s="7" t="str">
        <f>'[1]V, inciso o) (OP)'!H21</f>
        <v>Montañez</v>
      </c>
      <c r="L22" s="7" t="str">
        <f>'[1]V, inciso o) (OP)'!I21</f>
        <v>Zamora</v>
      </c>
      <c r="M22" s="6" t="s">
        <v>2938</v>
      </c>
      <c r="N22" s="6" t="str">
        <f>'[1]V, inciso o) (OP)'!K21</f>
        <v>GCT12060233A</v>
      </c>
      <c r="O22" s="11">
        <f t="shared" si="0"/>
        <v>680157.27</v>
      </c>
      <c r="P22" s="11">
        <v>675663.24320000003</v>
      </c>
      <c r="Q22" s="7" t="s">
        <v>118</v>
      </c>
      <c r="R22" s="11">
        <f>O22/12</f>
        <v>56679.772499999999</v>
      </c>
      <c r="S22" s="7" t="s">
        <v>119</v>
      </c>
      <c r="T22" s="12">
        <v>1243756</v>
      </c>
      <c r="U22" s="13" t="s">
        <v>42</v>
      </c>
      <c r="V22" s="7" t="s">
        <v>43</v>
      </c>
      <c r="W22" s="10">
        <f>'[1]V, inciso o) (OP)'!AD21</f>
        <v>42422</v>
      </c>
      <c r="X22" s="10">
        <f>'[1]V, inciso o) (OP)'!AE21</f>
        <v>42484</v>
      </c>
      <c r="Y22" s="7" t="s">
        <v>76</v>
      </c>
      <c r="Z22" s="7" t="s">
        <v>77</v>
      </c>
      <c r="AA22" s="7" t="s">
        <v>78</v>
      </c>
      <c r="AB22" s="21" t="s">
        <v>1347</v>
      </c>
      <c r="AC22" s="6" t="s">
        <v>2438</v>
      </c>
      <c r="AD22" s="6"/>
    </row>
    <row r="23" spans="1:30" ht="69.95" customHeight="1">
      <c r="A23" s="34">
        <v>8</v>
      </c>
      <c r="B23" s="7">
        <v>2016</v>
      </c>
      <c r="C23" s="7" t="s">
        <v>62</v>
      </c>
      <c r="D23" s="6" t="str">
        <f>'[1]V, inciso o) (OP)'!C22</f>
        <v>DOPI-MUN-RP-PROY-AD-008-2016</v>
      </c>
      <c r="E23" s="10">
        <f>'[1]V, inciso o) (OP)'!V22</f>
        <v>42406</v>
      </c>
      <c r="F23" s="6" t="str">
        <f>'[1]V, inciso o) (OP)'!AA22</f>
        <v>Diagnóstico, diseño y proyectos estructurales de diferentes elementos del programa 2016 primera etapa, municipio de Zapopan, Jalisco.</v>
      </c>
      <c r="G23" s="6" t="s">
        <v>3308</v>
      </c>
      <c r="H23" s="39">
        <v>1135877.45</v>
      </c>
      <c r="I23" s="6" t="s">
        <v>1317</v>
      </c>
      <c r="J23" s="6" t="str">
        <f>'[1]V, inciso o) (OP)'!G22</f>
        <v>Ricardo</v>
      </c>
      <c r="K23" s="7" t="str">
        <f>'[1]V, inciso o) (OP)'!H22</f>
        <v>Haro</v>
      </c>
      <c r="L23" s="7" t="str">
        <f>'[1]V, inciso o) (OP)'!I22</f>
        <v>Bugarín</v>
      </c>
      <c r="M23" s="6" t="s">
        <v>2939</v>
      </c>
      <c r="N23" s="6" t="str">
        <f>'[1]V, inciso o) (OP)'!K22</f>
        <v>CED030514T47</v>
      </c>
      <c r="O23" s="11">
        <f t="shared" si="0"/>
        <v>1135877.45</v>
      </c>
      <c r="P23" s="11">
        <v>1135863.48</v>
      </c>
      <c r="Q23" s="7" t="s">
        <v>120</v>
      </c>
      <c r="R23" s="11" t="s">
        <v>120</v>
      </c>
      <c r="S23" s="7" t="s">
        <v>121</v>
      </c>
      <c r="T23" s="12" t="s">
        <v>121</v>
      </c>
      <c r="U23" s="13" t="s">
        <v>42</v>
      </c>
      <c r="V23" s="7" t="s">
        <v>43</v>
      </c>
      <c r="W23" s="10">
        <f>'[1]V, inciso o) (OP)'!AD22</f>
        <v>42408</v>
      </c>
      <c r="X23" s="10">
        <f>'[1]V, inciso o) (OP)'!AE22</f>
        <v>42551</v>
      </c>
      <c r="Y23" s="7" t="s">
        <v>122</v>
      </c>
      <c r="Z23" s="7" t="s">
        <v>123</v>
      </c>
      <c r="AA23" s="7" t="s">
        <v>124</v>
      </c>
      <c r="AB23" s="21" t="s">
        <v>2913</v>
      </c>
      <c r="AC23" s="13" t="s">
        <v>1319</v>
      </c>
      <c r="AD23" s="6"/>
    </row>
    <row r="24" spans="1:30" ht="69.95" customHeight="1">
      <c r="A24" s="34">
        <v>9</v>
      </c>
      <c r="B24" s="7">
        <v>2016</v>
      </c>
      <c r="C24" s="7" t="s">
        <v>62</v>
      </c>
      <c r="D24" s="6" t="str">
        <f>'[1]V, inciso o) (OP)'!C23</f>
        <v>DOPI-MUN-RP-PROY-AD-009-2016</v>
      </c>
      <c r="E24" s="10">
        <f>'[1]V, inciso o) (OP)'!V23</f>
        <v>42406</v>
      </c>
      <c r="F24" s="6" t="str">
        <f>'[1]V, inciso o) (OP)'!AA23</f>
        <v>Diagnóstico, diseño y proyectos hidráulicos 2016, primera etapa, de diferentes redes de agua potable y alcantarillado, municipio de Zapopan Jalisco.</v>
      </c>
      <c r="G24" s="6" t="s">
        <v>3308</v>
      </c>
      <c r="H24" s="39">
        <v>1394867.44</v>
      </c>
      <c r="I24" s="6" t="s">
        <v>1317</v>
      </c>
      <c r="J24" s="6" t="str">
        <f>'[1]V, inciso o) (OP)'!G23</f>
        <v>Javier</v>
      </c>
      <c r="K24" s="7" t="str">
        <f>'[1]V, inciso o) (OP)'!H23</f>
        <v>Ávila</v>
      </c>
      <c r="L24" s="7" t="str">
        <f>'[1]V, inciso o) (OP)'!I23</f>
        <v>Flores</v>
      </c>
      <c r="M24" s="6" t="s">
        <v>2940</v>
      </c>
      <c r="N24" s="6" t="str">
        <f>'[1]V, inciso o) (OP)'!K23</f>
        <v>SCC060622HZ3</v>
      </c>
      <c r="O24" s="11">
        <f t="shared" si="0"/>
        <v>1394867.44</v>
      </c>
      <c r="P24" s="11">
        <v>1394867.4100000001</v>
      </c>
      <c r="Q24" s="7" t="s">
        <v>120</v>
      </c>
      <c r="R24" s="11" t="s">
        <v>120</v>
      </c>
      <c r="S24" s="7" t="s">
        <v>121</v>
      </c>
      <c r="T24" s="12" t="s">
        <v>121</v>
      </c>
      <c r="U24" s="13" t="s">
        <v>42</v>
      </c>
      <c r="V24" s="7" t="s">
        <v>43</v>
      </c>
      <c r="W24" s="10">
        <f>'[1]V, inciso o) (OP)'!AD23</f>
        <v>42408</v>
      </c>
      <c r="X24" s="10">
        <f>'[1]V, inciso o) (OP)'!AE23</f>
        <v>42551</v>
      </c>
      <c r="Y24" s="7" t="s">
        <v>125</v>
      </c>
      <c r="Z24" s="7" t="s">
        <v>126</v>
      </c>
      <c r="AA24" s="7" t="s">
        <v>127</v>
      </c>
      <c r="AB24" s="21" t="s">
        <v>2550</v>
      </c>
      <c r="AC24" s="6" t="s">
        <v>2438</v>
      </c>
      <c r="AD24" s="6"/>
    </row>
    <row r="25" spans="1:30" ht="69.95" customHeight="1">
      <c r="A25" s="34">
        <v>10</v>
      </c>
      <c r="B25" s="7">
        <v>2016</v>
      </c>
      <c r="C25" s="7" t="s">
        <v>62</v>
      </c>
      <c r="D25" s="6" t="str">
        <f>'[1]V, inciso o) (OP)'!C24</f>
        <v>DOPI-MUN-RP-PROY-AD-010-2016</v>
      </c>
      <c r="E25" s="10">
        <f>'[1]V, inciso o) (OP)'!V24</f>
        <v>42406</v>
      </c>
      <c r="F25" s="6" t="str">
        <f>'[1]V, inciso o) (OP)'!AA24</f>
        <v>Diagnóstico, diseño y proyectos de infraestructura eléctrica 2016, primera etapa, municipio de Zapopan, Jalisco.</v>
      </c>
      <c r="G25" s="6" t="s">
        <v>3308</v>
      </c>
      <c r="H25" s="39">
        <v>1293527.1299999999</v>
      </c>
      <c r="I25" s="6" t="s">
        <v>1317</v>
      </c>
      <c r="J25" s="6" t="str">
        <f>'[1]V, inciso o) (OP)'!G24</f>
        <v>Héctor Alejandro</v>
      </c>
      <c r="K25" s="7" t="str">
        <f>'[1]V, inciso o) (OP)'!H24</f>
        <v>Ortega</v>
      </c>
      <c r="L25" s="7" t="str">
        <f>'[1]V, inciso o) (OP)'!I24</f>
        <v>Rosales</v>
      </c>
      <c r="M25" s="6" t="s">
        <v>2941</v>
      </c>
      <c r="N25" s="6" t="str">
        <f>'[1]V, inciso o) (OP)'!K24</f>
        <v>ISS920330811</v>
      </c>
      <c r="O25" s="11">
        <f t="shared" si="0"/>
        <v>1293527.1299999999</v>
      </c>
      <c r="P25" s="11">
        <v>1293527.1299999999</v>
      </c>
      <c r="Q25" s="7" t="s">
        <v>120</v>
      </c>
      <c r="R25" s="11" t="s">
        <v>120</v>
      </c>
      <c r="S25" s="7" t="s">
        <v>121</v>
      </c>
      <c r="T25" s="12" t="s">
        <v>121</v>
      </c>
      <c r="U25" s="13" t="s">
        <v>42</v>
      </c>
      <c r="V25" s="7" t="s">
        <v>373</v>
      </c>
      <c r="W25" s="10">
        <f>'[1]V, inciso o) (OP)'!AD24</f>
        <v>42408</v>
      </c>
      <c r="X25" s="10">
        <f>'[1]V, inciso o) (OP)'!AE24</f>
        <v>42551</v>
      </c>
      <c r="Y25" s="7" t="s">
        <v>128</v>
      </c>
      <c r="Z25" s="7" t="s">
        <v>129</v>
      </c>
      <c r="AA25" s="7" t="s">
        <v>130</v>
      </c>
      <c r="AB25" s="21" t="s">
        <v>1360</v>
      </c>
      <c r="AC25" s="6" t="s">
        <v>2438</v>
      </c>
      <c r="AD25" s="6"/>
    </row>
    <row r="26" spans="1:30" ht="69.95" customHeight="1">
      <c r="A26" s="34">
        <v>11</v>
      </c>
      <c r="B26" s="7">
        <v>2016</v>
      </c>
      <c r="C26" s="7" t="s">
        <v>62</v>
      </c>
      <c r="D26" s="6" t="str">
        <f>'[1]V, inciso o) (OP)'!C25</f>
        <v>DOPI-MUN-RP-PROY-AD-011-2016</v>
      </c>
      <c r="E26" s="10">
        <f>'[1]V, inciso o) (OP)'!V25</f>
        <v>42406</v>
      </c>
      <c r="F26" s="6" t="str">
        <f>'[1]V, inciso o) (OP)'!AA25</f>
        <v>Control de calidad de diferentes obras 2016 del municipio de Zapopan, Jalisco, frente 1.</v>
      </c>
      <c r="G26" s="6" t="s">
        <v>3308</v>
      </c>
      <c r="H26" s="39">
        <v>1456436.78</v>
      </c>
      <c r="I26" s="6" t="s">
        <v>1317</v>
      </c>
      <c r="J26" s="6" t="str">
        <f>'[1]V, inciso o) (OP)'!G25</f>
        <v xml:space="preserve">José </v>
      </c>
      <c r="K26" s="7" t="str">
        <f>'[1]V, inciso o) (OP)'!H25</f>
        <v>Guillén</v>
      </c>
      <c r="L26" s="7" t="str">
        <f>'[1]V, inciso o) (OP)'!I25</f>
        <v>Díaz</v>
      </c>
      <c r="M26" s="6" t="s">
        <v>2942</v>
      </c>
      <c r="N26" s="6" t="str">
        <f>'[1]V, inciso o) (OP)'!K25</f>
        <v>SPC050127BR0</v>
      </c>
      <c r="O26" s="11">
        <f t="shared" si="0"/>
        <v>1456436.78</v>
      </c>
      <c r="P26" s="11">
        <v>1452753.17</v>
      </c>
      <c r="Q26" s="7" t="s">
        <v>120</v>
      </c>
      <c r="R26" s="11" t="s">
        <v>120</v>
      </c>
      <c r="S26" s="7" t="s">
        <v>121</v>
      </c>
      <c r="T26" s="12" t="s">
        <v>121</v>
      </c>
      <c r="U26" s="13" t="s">
        <v>42</v>
      </c>
      <c r="V26" s="7" t="s">
        <v>43</v>
      </c>
      <c r="W26" s="10">
        <f>'[1]V, inciso o) (OP)'!AD25</f>
        <v>42408</v>
      </c>
      <c r="X26" s="10">
        <f>'[1]V, inciso o) (OP)'!AE25</f>
        <v>42735</v>
      </c>
      <c r="Y26" s="7" t="s">
        <v>131</v>
      </c>
      <c r="Z26" s="7" t="s">
        <v>82</v>
      </c>
      <c r="AA26" s="7" t="s">
        <v>132</v>
      </c>
      <c r="AB26" s="21" t="s">
        <v>1361</v>
      </c>
      <c r="AC26" s="6" t="s">
        <v>2438</v>
      </c>
      <c r="AD26" s="6"/>
    </row>
    <row r="27" spans="1:30" ht="69.95" customHeight="1">
      <c r="A27" s="34">
        <v>12</v>
      </c>
      <c r="B27" s="7">
        <v>2016</v>
      </c>
      <c r="C27" s="7" t="s">
        <v>62</v>
      </c>
      <c r="D27" s="6" t="str">
        <f>'[1]V, inciso o) (OP)'!C26</f>
        <v>DOPI-MUN-RP-PROY-AD-012-2016</v>
      </c>
      <c r="E27" s="10">
        <f>'[1]V, inciso o) (OP)'!V26</f>
        <v>42406</v>
      </c>
      <c r="F27" s="6" t="str">
        <f>'[1]V, inciso o) (OP)'!AA26</f>
        <v>Control de calidad de diferentes obras 2016 del municipio de Zapopan, Jalisco, frente 2.</v>
      </c>
      <c r="G27" s="6" t="s">
        <v>3308</v>
      </c>
      <c r="H27" s="39">
        <v>1528326.3</v>
      </c>
      <c r="I27" s="6" t="s">
        <v>1317</v>
      </c>
      <c r="J27" s="6" t="str">
        <f>'[1]V, inciso o) (OP)'!G26</f>
        <v>José Alejandro</v>
      </c>
      <c r="K27" s="7" t="str">
        <f>'[1]V, inciso o) (OP)'!H26</f>
        <v>Alva</v>
      </c>
      <c r="L27" s="7" t="str">
        <f>'[1]V, inciso o) (OP)'!I26</f>
        <v>Delgado</v>
      </c>
      <c r="M27" s="6" t="s">
        <v>2943</v>
      </c>
      <c r="N27" s="6" t="str">
        <f>'[1]V, inciso o) (OP)'!K26</f>
        <v>SOC150806E69</v>
      </c>
      <c r="O27" s="11">
        <f t="shared" si="0"/>
        <v>1528326.3</v>
      </c>
      <c r="P27" s="11">
        <v>1350584.55</v>
      </c>
      <c r="Q27" s="7" t="s">
        <v>120</v>
      </c>
      <c r="R27" s="11" t="s">
        <v>120</v>
      </c>
      <c r="S27" s="7" t="s">
        <v>121</v>
      </c>
      <c r="T27" s="12" t="s">
        <v>121</v>
      </c>
      <c r="U27" s="13" t="s">
        <v>42</v>
      </c>
      <c r="V27" s="7" t="s">
        <v>43</v>
      </c>
      <c r="W27" s="10">
        <f>'[1]V, inciso o) (OP)'!AD26</f>
        <v>42408</v>
      </c>
      <c r="X27" s="10">
        <f>'[1]V, inciso o) (OP)'!AE26</f>
        <v>42735</v>
      </c>
      <c r="Y27" s="7" t="s">
        <v>131</v>
      </c>
      <c r="Z27" s="7" t="s">
        <v>82</v>
      </c>
      <c r="AA27" s="7" t="s">
        <v>132</v>
      </c>
      <c r="AB27" s="21" t="s">
        <v>1348</v>
      </c>
      <c r="AC27" s="6" t="s">
        <v>2438</v>
      </c>
      <c r="AD27" s="6"/>
    </row>
    <row r="28" spans="1:30" ht="69.95" customHeight="1">
      <c r="A28" s="34">
        <v>13</v>
      </c>
      <c r="B28" s="7">
        <v>2016</v>
      </c>
      <c r="C28" s="7" t="s">
        <v>62</v>
      </c>
      <c r="D28" s="6" t="str">
        <f>'[1]V, inciso o) (OP)'!C27</f>
        <v>DOPI-MUN-RP-PROY-AD-013-2016</v>
      </c>
      <c r="E28" s="10">
        <f>'[1]V, inciso o) (OP)'!V27</f>
        <v>42406</v>
      </c>
      <c r="F28" s="6" t="str">
        <f>'[1]V, inciso o) (OP)'!AA27</f>
        <v>Estudios de mecánica de suelos y diseño de pavimentos de diferentes obras 2016, primera etapa, del municipio de Zapopan, Jalisco.</v>
      </c>
      <c r="G28" s="6" t="s">
        <v>3308</v>
      </c>
      <c r="H28" s="39">
        <v>1201315.48</v>
      </c>
      <c r="I28" s="6" t="s">
        <v>1317</v>
      </c>
      <c r="J28" s="6" t="str">
        <f>'[1]V, inciso o) (OP)'!G27</f>
        <v>Héctor Hugo</v>
      </c>
      <c r="K28" s="7" t="str">
        <f>'[1]V, inciso o) (OP)'!H27</f>
        <v>Guillén</v>
      </c>
      <c r="L28" s="7" t="str">
        <f>'[1]V, inciso o) (OP)'!I27</f>
        <v>Guerrero</v>
      </c>
      <c r="M28" s="6" t="s">
        <v>2944</v>
      </c>
      <c r="N28" s="6" t="str">
        <f>'[1]V, inciso o) (OP)'!K27</f>
        <v>CON090306I19</v>
      </c>
      <c r="O28" s="11">
        <f t="shared" si="0"/>
        <v>1201315.48</v>
      </c>
      <c r="P28" s="11">
        <v>932425.30999999994</v>
      </c>
      <c r="Q28" s="7" t="s">
        <v>120</v>
      </c>
      <c r="R28" s="11" t="s">
        <v>120</v>
      </c>
      <c r="S28" s="7" t="s">
        <v>121</v>
      </c>
      <c r="T28" s="12" t="s">
        <v>121</v>
      </c>
      <c r="U28" s="13" t="s">
        <v>42</v>
      </c>
      <c r="V28" s="7" t="s">
        <v>43</v>
      </c>
      <c r="W28" s="10">
        <f>'[1]V, inciso o) (OP)'!AD27</f>
        <v>42408</v>
      </c>
      <c r="X28" s="10">
        <f>'[1]V, inciso o) (OP)'!AE27</f>
        <v>42551</v>
      </c>
      <c r="Y28" s="7" t="s">
        <v>131</v>
      </c>
      <c r="Z28" s="7" t="s">
        <v>82</v>
      </c>
      <c r="AA28" s="7" t="s">
        <v>132</v>
      </c>
      <c r="AB28" s="21" t="s">
        <v>1362</v>
      </c>
      <c r="AC28" s="13" t="s">
        <v>1320</v>
      </c>
      <c r="AD28" s="7"/>
    </row>
    <row r="29" spans="1:30" ht="69.95" customHeight="1">
      <c r="A29" s="34">
        <v>14</v>
      </c>
      <c r="B29" s="7">
        <v>2016</v>
      </c>
      <c r="C29" s="7" t="s">
        <v>62</v>
      </c>
      <c r="D29" s="6" t="str">
        <f>'[1]V, inciso o) (OP)'!C28</f>
        <v>DOPI-MUN-RP-PROY-AD-014-2016</v>
      </c>
      <c r="E29" s="10">
        <f>'[1]V, inciso o) (OP)'!V28</f>
        <v>42406</v>
      </c>
      <c r="F29" s="6" t="str">
        <f>'[1]V, inciso o) (OP)'!AA28</f>
        <v>Estudios básicos topográficos para diferentes obras 2016, primera etapa, del municipio de Zapopan, Jalisco.</v>
      </c>
      <c r="G29" s="6" t="s">
        <v>3308</v>
      </c>
      <c r="H29" s="39">
        <v>1385659.75</v>
      </c>
      <c r="I29" s="6" t="s">
        <v>1317</v>
      </c>
      <c r="J29" s="6" t="str">
        <f>'[1]V, inciso o) (OP)'!G28</f>
        <v>Gabriel</v>
      </c>
      <c r="K29" s="7" t="str">
        <f>'[1]V, inciso o) (OP)'!H28</f>
        <v>Franco</v>
      </c>
      <c r="L29" s="7" t="str">
        <f>'[1]V, inciso o) (OP)'!I28</f>
        <v>Alatorre</v>
      </c>
      <c r="M29" s="6" t="s">
        <v>2945</v>
      </c>
      <c r="N29" s="6" t="str">
        <f>'[1]V, inciso o) (OP)'!K28</f>
        <v>COM141015F48</v>
      </c>
      <c r="O29" s="11">
        <f t="shared" si="0"/>
        <v>1385659.75</v>
      </c>
      <c r="P29" s="11">
        <v>1385659.6500000001</v>
      </c>
      <c r="Q29" s="7" t="s">
        <v>120</v>
      </c>
      <c r="R29" s="11" t="s">
        <v>120</v>
      </c>
      <c r="S29" s="7" t="s">
        <v>121</v>
      </c>
      <c r="T29" s="12" t="s">
        <v>121</v>
      </c>
      <c r="U29" s="13" t="s">
        <v>42</v>
      </c>
      <c r="V29" s="7" t="s">
        <v>43</v>
      </c>
      <c r="W29" s="10">
        <f>'[1]V, inciso o) (OP)'!AD28</f>
        <v>42408</v>
      </c>
      <c r="X29" s="10">
        <f>'[1]V, inciso o) (OP)'!AE28</f>
        <v>42551</v>
      </c>
      <c r="Y29" s="7" t="s">
        <v>133</v>
      </c>
      <c r="Z29" s="7" t="s">
        <v>134</v>
      </c>
      <c r="AA29" s="7" t="s">
        <v>135</v>
      </c>
      <c r="AB29" s="21" t="s">
        <v>1491</v>
      </c>
      <c r="AC29" s="6" t="s">
        <v>2438</v>
      </c>
      <c r="AD29" s="6"/>
    </row>
    <row r="30" spans="1:30" ht="69.95" customHeight="1">
      <c r="A30" s="34">
        <v>15</v>
      </c>
      <c r="B30" s="7">
        <v>2016</v>
      </c>
      <c r="C30" s="7" t="s">
        <v>62</v>
      </c>
      <c r="D30" s="6" t="str">
        <f>'[1]V, inciso o) (OP)'!C29</f>
        <v>DOPI-MUN-RP-EP-AD-015-2016</v>
      </c>
      <c r="E30" s="10">
        <f>'[1]V, inciso o) (OP)'!V29</f>
        <v>42413</v>
      </c>
      <c r="F30" s="6" t="str">
        <f>'[1]V, inciso o) (OP)'!AA29</f>
        <v>Demoliciones, rellenos, construcción de muros, banquetas, estacionamiento, cerca perimetral, banquetas y puente en el parque El Polvorin II, municipio de Zapopan, Jalisco.</v>
      </c>
      <c r="G30" s="6" t="s">
        <v>63</v>
      </c>
      <c r="H30" s="39">
        <v>1547300.2</v>
      </c>
      <c r="I30" s="6" t="s">
        <v>136</v>
      </c>
      <c r="J30" s="6" t="str">
        <f>'[1]V, inciso o) (OP)'!G29</f>
        <v>Hugo Alejandro</v>
      </c>
      <c r="K30" s="7" t="str">
        <f>'[1]V, inciso o) (OP)'!H29</f>
        <v>Almanzor</v>
      </c>
      <c r="L30" s="7" t="str">
        <f>'[1]V, inciso o) (OP)'!I29</f>
        <v>González</v>
      </c>
      <c r="M30" s="6" t="s">
        <v>2946</v>
      </c>
      <c r="N30" s="6" t="str">
        <f>'[1]V, inciso o) (OP)'!K29</f>
        <v>ACO0806185Z3</v>
      </c>
      <c r="O30" s="11">
        <f t="shared" si="0"/>
        <v>1547300.2</v>
      </c>
      <c r="P30" s="11">
        <v>1547263.26</v>
      </c>
      <c r="Q30" s="7" t="s">
        <v>137</v>
      </c>
      <c r="R30" s="11">
        <f>O30/2546.52</f>
        <v>607.61360601919478</v>
      </c>
      <c r="S30" s="7" t="s">
        <v>41</v>
      </c>
      <c r="T30" s="12">
        <v>2614</v>
      </c>
      <c r="U30" s="13" t="s">
        <v>42</v>
      </c>
      <c r="V30" s="7" t="s">
        <v>43</v>
      </c>
      <c r="W30" s="10">
        <f>'[1]V, inciso o) (OP)'!AD29</f>
        <v>42415</v>
      </c>
      <c r="X30" s="10">
        <f>'[1]V, inciso o) (OP)'!AE29</f>
        <v>42475</v>
      </c>
      <c r="Y30" s="7" t="s">
        <v>114</v>
      </c>
      <c r="Z30" s="7" t="s">
        <v>138</v>
      </c>
      <c r="AA30" s="7" t="s">
        <v>130</v>
      </c>
      <c r="AB30" s="21" t="s">
        <v>1363</v>
      </c>
      <c r="AC30" s="6" t="s">
        <v>2438</v>
      </c>
      <c r="AD30" s="6"/>
    </row>
    <row r="31" spans="1:30" ht="69.95" customHeight="1">
      <c r="A31" s="34">
        <v>16</v>
      </c>
      <c r="B31" s="7">
        <v>2016</v>
      </c>
      <c r="C31" s="6" t="s">
        <v>139</v>
      </c>
      <c r="D31" s="6" t="s">
        <v>140</v>
      </c>
      <c r="E31" s="10">
        <v>42494</v>
      </c>
      <c r="F31" s="6" t="s">
        <v>141</v>
      </c>
      <c r="G31" s="6" t="s">
        <v>63</v>
      </c>
      <c r="H31" s="39">
        <v>3199054.38</v>
      </c>
      <c r="I31" s="6" t="s">
        <v>142</v>
      </c>
      <c r="J31" s="6" t="s">
        <v>128</v>
      </c>
      <c r="K31" s="7" t="s">
        <v>143</v>
      </c>
      <c r="L31" s="7" t="s">
        <v>144</v>
      </c>
      <c r="M31" s="6" t="s">
        <v>145</v>
      </c>
      <c r="N31" s="7" t="s">
        <v>146</v>
      </c>
      <c r="O31" s="11">
        <f t="shared" si="0"/>
        <v>3199054.38</v>
      </c>
      <c r="P31" s="11">
        <v>3059470.4300000006</v>
      </c>
      <c r="Q31" s="7" t="s">
        <v>147</v>
      </c>
      <c r="R31" s="11">
        <f>O31/525</f>
        <v>6093.436914285714</v>
      </c>
      <c r="S31" s="7" t="s">
        <v>41</v>
      </c>
      <c r="T31" s="12">
        <v>2614</v>
      </c>
      <c r="U31" s="13" t="s">
        <v>42</v>
      </c>
      <c r="V31" s="7" t="s">
        <v>43</v>
      </c>
      <c r="W31" s="10">
        <v>42495</v>
      </c>
      <c r="X31" s="10">
        <v>42580</v>
      </c>
      <c r="Y31" s="7" t="s">
        <v>148</v>
      </c>
      <c r="Z31" s="7" t="s">
        <v>149</v>
      </c>
      <c r="AA31" s="7" t="s">
        <v>150</v>
      </c>
      <c r="AB31" s="21" t="s">
        <v>2761</v>
      </c>
      <c r="AC31" s="6" t="s">
        <v>2438</v>
      </c>
      <c r="AD31" s="6"/>
    </row>
    <row r="32" spans="1:30" ht="69.95" customHeight="1">
      <c r="A32" s="34">
        <v>17</v>
      </c>
      <c r="B32" s="7">
        <v>2016</v>
      </c>
      <c r="C32" s="6" t="s">
        <v>139</v>
      </c>
      <c r="D32" s="6" t="s">
        <v>151</v>
      </c>
      <c r="E32" s="10">
        <v>42494</v>
      </c>
      <c r="F32" s="6" t="s">
        <v>152</v>
      </c>
      <c r="G32" s="6" t="s">
        <v>3308</v>
      </c>
      <c r="H32" s="39">
        <v>3490706.8</v>
      </c>
      <c r="I32" s="6" t="s">
        <v>153</v>
      </c>
      <c r="J32" s="6" t="s">
        <v>154</v>
      </c>
      <c r="K32" s="7" t="s">
        <v>155</v>
      </c>
      <c r="L32" s="7" t="s">
        <v>127</v>
      </c>
      <c r="M32" s="6" t="s">
        <v>156</v>
      </c>
      <c r="N32" s="7" t="s">
        <v>157</v>
      </c>
      <c r="O32" s="11">
        <f t="shared" si="0"/>
        <v>3490706.8</v>
      </c>
      <c r="P32" s="11">
        <f>O32</f>
        <v>3490706.8</v>
      </c>
      <c r="Q32" s="7" t="s">
        <v>120</v>
      </c>
      <c r="R32" s="11" t="s">
        <v>120</v>
      </c>
      <c r="S32" s="7" t="s">
        <v>121</v>
      </c>
      <c r="T32" s="7" t="s">
        <v>121</v>
      </c>
      <c r="U32" s="13" t="s">
        <v>42</v>
      </c>
      <c r="V32" s="7" t="s">
        <v>373</v>
      </c>
      <c r="W32" s="10">
        <v>42495</v>
      </c>
      <c r="X32" s="10">
        <v>42580</v>
      </c>
      <c r="Y32" s="7" t="s">
        <v>158</v>
      </c>
      <c r="Z32" s="7" t="s">
        <v>3277</v>
      </c>
      <c r="AA32" s="7" t="s">
        <v>159</v>
      </c>
      <c r="AB32" s="21" t="s">
        <v>3278</v>
      </c>
      <c r="AC32" s="21" t="s">
        <v>3296</v>
      </c>
      <c r="AD32" s="6"/>
    </row>
    <row r="33" spans="1:30" ht="69.95" customHeight="1">
      <c r="A33" s="34">
        <v>19</v>
      </c>
      <c r="B33" s="7">
        <v>2016</v>
      </c>
      <c r="C33" s="6" t="s">
        <v>139</v>
      </c>
      <c r="D33" s="6" t="s">
        <v>160</v>
      </c>
      <c r="E33" s="10">
        <v>42494</v>
      </c>
      <c r="F33" s="6" t="s">
        <v>161</v>
      </c>
      <c r="G33" s="6" t="s">
        <v>63</v>
      </c>
      <c r="H33" s="39">
        <v>4875705.4800000004</v>
      </c>
      <c r="I33" s="6" t="s">
        <v>162</v>
      </c>
      <c r="J33" s="6" t="s">
        <v>163</v>
      </c>
      <c r="K33" s="7" t="s">
        <v>164</v>
      </c>
      <c r="L33" s="7" t="s">
        <v>165</v>
      </c>
      <c r="M33" s="6" t="s">
        <v>166</v>
      </c>
      <c r="N33" s="7" t="s">
        <v>167</v>
      </c>
      <c r="O33" s="11">
        <f t="shared" si="0"/>
        <v>4875705.4800000004</v>
      </c>
      <c r="P33" s="11">
        <v>4875705.4800000004</v>
      </c>
      <c r="Q33" s="7" t="s">
        <v>120</v>
      </c>
      <c r="R33" s="11" t="s">
        <v>120</v>
      </c>
      <c r="S33" s="7" t="s">
        <v>121</v>
      </c>
      <c r="T33" s="7" t="s">
        <v>121</v>
      </c>
      <c r="U33" s="13" t="s">
        <v>42</v>
      </c>
      <c r="V33" s="7" t="s">
        <v>373</v>
      </c>
      <c r="W33" s="10">
        <v>42495</v>
      </c>
      <c r="X33" s="10">
        <v>42580</v>
      </c>
      <c r="Y33" s="7" t="s">
        <v>168</v>
      </c>
      <c r="Z33" s="7" t="s">
        <v>169</v>
      </c>
      <c r="AA33" s="7" t="s">
        <v>170</v>
      </c>
      <c r="AB33" s="21" t="s">
        <v>1349</v>
      </c>
      <c r="AC33" s="6" t="s">
        <v>2438</v>
      </c>
      <c r="AD33" s="6"/>
    </row>
    <row r="34" spans="1:30" ht="69.95" customHeight="1">
      <c r="A34" s="34">
        <v>20</v>
      </c>
      <c r="B34" s="7">
        <v>2016</v>
      </c>
      <c r="C34" s="6" t="s">
        <v>31</v>
      </c>
      <c r="D34" s="6" t="s">
        <v>171</v>
      </c>
      <c r="E34" s="10">
        <v>42494</v>
      </c>
      <c r="F34" s="32" t="s">
        <v>172</v>
      </c>
      <c r="G34" s="6" t="s">
        <v>63</v>
      </c>
      <c r="H34" s="39">
        <v>2407303.62</v>
      </c>
      <c r="I34" s="6" t="s">
        <v>173</v>
      </c>
      <c r="J34" s="6" t="s">
        <v>174</v>
      </c>
      <c r="K34" s="7" t="s">
        <v>175</v>
      </c>
      <c r="L34" s="7" t="s">
        <v>176</v>
      </c>
      <c r="M34" s="6" t="s">
        <v>177</v>
      </c>
      <c r="N34" s="7" t="s">
        <v>178</v>
      </c>
      <c r="O34" s="11">
        <f t="shared" si="0"/>
        <v>2407303.62</v>
      </c>
      <c r="P34" s="11">
        <v>2407303.48</v>
      </c>
      <c r="Q34" s="7" t="s">
        <v>179</v>
      </c>
      <c r="R34" s="11">
        <f>O34/1943</f>
        <v>1238.9622336592897</v>
      </c>
      <c r="S34" s="7" t="s">
        <v>41</v>
      </c>
      <c r="T34" s="12">
        <v>8735</v>
      </c>
      <c r="U34" s="13" t="s">
        <v>42</v>
      </c>
      <c r="V34" s="7" t="s">
        <v>43</v>
      </c>
      <c r="W34" s="10">
        <v>42495</v>
      </c>
      <c r="X34" s="10">
        <v>42560</v>
      </c>
      <c r="Y34" s="7" t="s">
        <v>180</v>
      </c>
      <c r="Z34" s="7" t="s">
        <v>181</v>
      </c>
      <c r="AA34" s="7" t="s">
        <v>89</v>
      </c>
      <c r="AB34" s="21" t="s">
        <v>1364</v>
      </c>
      <c r="AC34" s="13" t="s">
        <v>1321</v>
      </c>
      <c r="AD34" s="7"/>
    </row>
    <row r="35" spans="1:30" ht="69.95" customHeight="1">
      <c r="A35" s="34">
        <v>21</v>
      </c>
      <c r="B35" s="7">
        <v>2016</v>
      </c>
      <c r="C35" s="6" t="s">
        <v>31</v>
      </c>
      <c r="D35" s="6" t="s">
        <v>182</v>
      </c>
      <c r="E35" s="10">
        <v>42494</v>
      </c>
      <c r="F35" s="32" t="s">
        <v>183</v>
      </c>
      <c r="G35" s="6" t="s">
        <v>63</v>
      </c>
      <c r="H35" s="39">
        <v>3751058.09</v>
      </c>
      <c r="I35" s="6" t="s">
        <v>184</v>
      </c>
      <c r="J35" s="6" t="s">
        <v>185</v>
      </c>
      <c r="K35" s="7" t="s">
        <v>82</v>
      </c>
      <c r="L35" s="7" t="s">
        <v>186</v>
      </c>
      <c r="M35" s="6" t="s">
        <v>187</v>
      </c>
      <c r="N35" s="7" t="s">
        <v>188</v>
      </c>
      <c r="O35" s="11">
        <f t="shared" si="0"/>
        <v>3751058.09</v>
      </c>
      <c r="P35" s="11">
        <v>3751058.08</v>
      </c>
      <c r="Q35" s="7" t="s">
        <v>189</v>
      </c>
      <c r="R35" s="11">
        <f>O35/3528</f>
        <v>1063.2250821995465</v>
      </c>
      <c r="S35" s="7" t="s">
        <v>41</v>
      </c>
      <c r="T35" s="12">
        <v>42592</v>
      </c>
      <c r="U35" s="13" t="s">
        <v>42</v>
      </c>
      <c r="V35" s="7" t="s">
        <v>43</v>
      </c>
      <c r="W35" s="10">
        <v>42495</v>
      </c>
      <c r="X35" s="10">
        <v>42560</v>
      </c>
      <c r="Y35" s="7" t="s">
        <v>190</v>
      </c>
      <c r="Z35" s="7" t="s">
        <v>191</v>
      </c>
      <c r="AA35" s="7" t="s">
        <v>192</v>
      </c>
      <c r="AB35" s="21" t="s">
        <v>1365</v>
      </c>
      <c r="AC35" s="6" t="s">
        <v>2438</v>
      </c>
      <c r="AD35" s="7"/>
    </row>
    <row r="36" spans="1:30" ht="69.95" customHeight="1">
      <c r="A36" s="34">
        <v>22</v>
      </c>
      <c r="B36" s="7">
        <v>2016</v>
      </c>
      <c r="C36" s="6" t="s">
        <v>31</v>
      </c>
      <c r="D36" s="6" t="s">
        <v>193</v>
      </c>
      <c r="E36" s="10">
        <v>42494</v>
      </c>
      <c r="F36" s="32" t="s">
        <v>194</v>
      </c>
      <c r="G36" s="6" t="s">
        <v>63</v>
      </c>
      <c r="H36" s="39">
        <v>9061398</v>
      </c>
      <c r="I36" s="6" t="s">
        <v>195</v>
      </c>
      <c r="J36" s="6" t="s">
        <v>196</v>
      </c>
      <c r="K36" s="7" t="s">
        <v>197</v>
      </c>
      <c r="L36" s="7" t="s">
        <v>198</v>
      </c>
      <c r="M36" s="6" t="s">
        <v>199</v>
      </c>
      <c r="N36" s="7" t="s">
        <v>200</v>
      </c>
      <c r="O36" s="11">
        <f t="shared" si="0"/>
        <v>9061398</v>
      </c>
      <c r="P36" s="11">
        <v>9061387.8100000005</v>
      </c>
      <c r="Q36" s="7" t="s">
        <v>201</v>
      </c>
      <c r="R36" s="11">
        <f>O36/45550</f>
        <v>198.93299670691547</v>
      </c>
      <c r="S36" s="7" t="s">
        <v>41</v>
      </c>
      <c r="T36" s="12">
        <v>11135</v>
      </c>
      <c r="U36" s="13" t="s">
        <v>42</v>
      </c>
      <c r="V36" s="7" t="s">
        <v>43</v>
      </c>
      <c r="W36" s="10">
        <v>42495</v>
      </c>
      <c r="X36" s="10">
        <v>42560</v>
      </c>
      <c r="Y36" s="7" t="s">
        <v>202</v>
      </c>
      <c r="Z36" s="7" t="s">
        <v>203</v>
      </c>
      <c r="AA36" s="7" t="s">
        <v>46</v>
      </c>
      <c r="AB36" s="21" t="s">
        <v>1366</v>
      </c>
      <c r="AC36" s="13" t="s">
        <v>1322</v>
      </c>
      <c r="AD36" s="7"/>
    </row>
    <row r="37" spans="1:30" ht="69.95" customHeight="1">
      <c r="A37" s="34">
        <v>23</v>
      </c>
      <c r="B37" s="7">
        <v>2016</v>
      </c>
      <c r="C37" s="6" t="s">
        <v>31</v>
      </c>
      <c r="D37" s="6" t="s">
        <v>204</v>
      </c>
      <c r="E37" s="10">
        <v>42494</v>
      </c>
      <c r="F37" s="32" t="s">
        <v>205</v>
      </c>
      <c r="G37" s="6" t="s">
        <v>63</v>
      </c>
      <c r="H37" s="39">
        <v>5488803.8799999999</v>
      </c>
      <c r="I37" s="6" t="s">
        <v>206</v>
      </c>
      <c r="J37" s="6" t="s">
        <v>207</v>
      </c>
      <c r="K37" s="7" t="s">
        <v>208</v>
      </c>
      <c r="L37" s="7" t="s">
        <v>209</v>
      </c>
      <c r="M37" s="6" t="s">
        <v>210</v>
      </c>
      <c r="N37" s="7" t="s">
        <v>211</v>
      </c>
      <c r="O37" s="11">
        <f t="shared" si="0"/>
        <v>5488803.8799999999</v>
      </c>
      <c r="P37" s="11">
        <v>5488803.879999999</v>
      </c>
      <c r="Q37" s="7" t="s">
        <v>212</v>
      </c>
      <c r="R37" s="11">
        <f>O37/24196</f>
        <v>226.84757315258719</v>
      </c>
      <c r="S37" s="7" t="s">
        <v>41</v>
      </c>
      <c r="T37" s="12">
        <v>10706</v>
      </c>
      <c r="U37" s="13" t="s">
        <v>42</v>
      </c>
      <c r="V37" s="7" t="s">
        <v>43</v>
      </c>
      <c r="W37" s="10">
        <v>42494</v>
      </c>
      <c r="X37" s="10">
        <v>42559</v>
      </c>
      <c r="Y37" s="7" t="s">
        <v>180</v>
      </c>
      <c r="Z37" s="7" t="s">
        <v>181</v>
      </c>
      <c r="AA37" s="7" t="s">
        <v>89</v>
      </c>
      <c r="AB37" s="21" t="s">
        <v>1367</v>
      </c>
      <c r="AC37" s="13" t="s">
        <v>1323</v>
      </c>
      <c r="AD37" s="7"/>
    </row>
    <row r="38" spans="1:30" ht="69.95" customHeight="1">
      <c r="A38" s="34">
        <v>24</v>
      </c>
      <c r="B38" s="7">
        <v>2016</v>
      </c>
      <c r="C38" s="6" t="s">
        <v>31</v>
      </c>
      <c r="D38" s="6" t="s">
        <v>213</v>
      </c>
      <c r="E38" s="10">
        <v>42494</v>
      </c>
      <c r="F38" s="32" t="s">
        <v>214</v>
      </c>
      <c r="G38" s="6" t="s">
        <v>63</v>
      </c>
      <c r="H38" s="39">
        <v>4882068.75</v>
      </c>
      <c r="I38" s="6" t="s">
        <v>215</v>
      </c>
      <c r="J38" s="6" t="s">
        <v>216</v>
      </c>
      <c r="K38" s="7" t="s">
        <v>56</v>
      </c>
      <c r="L38" s="7" t="s">
        <v>217</v>
      </c>
      <c r="M38" s="6" t="s">
        <v>218</v>
      </c>
      <c r="N38" s="7" t="s">
        <v>219</v>
      </c>
      <c r="O38" s="11">
        <f t="shared" si="0"/>
        <v>4882068.75</v>
      </c>
      <c r="P38" s="11">
        <v>4544438.62</v>
      </c>
      <c r="Q38" s="7" t="s">
        <v>220</v>
      </c>
      <c r="R38" s="11">
        <f>O38/14500</f>
        <v>336.69439655172414</v>
      </c>
      <c r="S38" s="7" t="s">
        <v>41</v>
      </c>
      <c r="T38" s="12">
        <v>42592</v>
      </c>
      <c r="U38" s="13" t="s">
        <v>42</v>
      </c>
      <c r="V38" s="7" t="s">
        <v>43</v>
      </c>
      <c r="W38" s="10">
        <v>42495</v>
      </c>
      <c r="X38" s="10">
        <v>42560</v>
      </c>
      <c r="Y38" s="7" t="s">
        <v>190</v>
      </c>
      <c r="Z38" s="7" t="s">
        <v>191</v>
      </c>
      <c r="AA38" s="7" t="s">
        <v>192</v>
      </c>
      <c r="AB38" s="21" t="s">
        <v>1350</v>
      </c>
      <c r="AC38" s="6" t="s">
        <v>2438</v>
      </c>
      <c r="AD38" s="6"/>
    </row>
    <row r="39" spans="1:30" ht="69.95" customHeight="1">
      <c r="A39" s="34">
        <v>25</v>
      </c>
      <c r="B39" s="7">
        <v>2016</v>
      </c>
      <c r="C39" s="6" t="s">
        <v>31</v>
      </c>
      <c r="D39" s="6" t="s">
        <v>221</v>
      </c>
      <c r="E39" s="10">
        <v>42494</v>
      </c>
      <c r="F39" s="32" t="s">
        <v>222</v>
      </c>
      <c r="G39" s="6" t="s">
        <v>63</v>
      </c>
      <c r="H39" s="39">
        <v>5720790.3899999997</v>
      </c>
      <c r="I39" s="6" t="s">
        <v>223</v>
      </c>
      <c r="J39" s="6" t="s">
        <v>224</v>
      </c>
      <c r="K39" s="7" t="s">
        <v>225</v>
      </c>
      <c r="L39" s="7" t="s">
        <v>226</v>
      </c>
      <c r="M39" s="6" t="s">
        <v>227</v>
      </c>
      <c r="N39" s="7" t="s">
        <v>228</v>
      </c>
      <c r="O39" s="11">
        <f t="shared" si="0"/>
        <v>5720790.3899999997</v>
      </c>
      <c r="P39" s="11">
        <v>1950774.7000000002</v>
      </c>
      <c r="Q39" s="7" t="s">
        <v>229</v>
      </c>
      <c r="R39" s="11">
        <f>O39/4855</f>
        <v>1178.3296374871265</v>
      </c>
      <c r="S39" s="7" t="s">
        <v>41</v>
      </c>
      <c r="T39" s="12">
        <v>134932</v>
      </c>
      <c r="U39" s="13" t="s">
        <v>42</v>
      </c>
      <c r="V39" s="7" t="s">
        <v>43</v>
      </c>
      <c r="W39" s="10">
        <v>42495</v>
      </c>
      <c r="X39" s="10">
        <v>42560</v>
      </c>
      <c r="Y39" s="7" t="s">
        <v>230</v>
      </c>
      <c r="Z39" s="7" t="s">
        <v>231</v>
      </c>
      <c r="AA39" s="7" t="s">
        <v>232</v>
      </c>
      <c r="AB39" s="21" t="s">
        <v>1368</v>
      </c>
      <c r="AC39" s="6" t="s">
        <v>2438</v>
      </c>
      <c r="AD39" s="6"/>
    </row>
    <row r="40" spans="1:30" ht="69.95" customHeight="1">
      <c r="A40" s="34">
        <v>26</v>
      </c>
      <c r="B40" s="7">
        <v>2016</v>
      </c>
      <c r="C40" s="6" t="s">
        <v>31</v>
      </c>
      <c r="D40" s="6" t="s">
        <v>233</v>
      </c>
      <c r="E40" s="10">
        <v>42494</v>
      </c>
      <c r="F40" s="32" t="s">
        <v>234</v>
      </c>
      <c r="G40" s="6" t="s">
        <v>63</v>
      </c>
      <c r="H40" s="39">
        <v>5967161.3700000001</v>
      </c>
      <c r="I40" s="6" t="s">
        <v>223</v>
      </c>
      <c r="J40" s="6" t="s">
        <v>235</v>
      </c>
      <c r="K40" s="7" t="s">
        <v>236</v>
      </c>
      <c r="L40" s="7" t="s">
        <v>237</v>
      </c>
      <c r="M40" s="6" t="s">
        <v>238</v>
      </c>
      <c r="N40" s="7" t="s">
        <v>239</v>
      </c>
      <c r="O40" s="11">
        <f t="shared" si="0"/>
        <v>5967161.3700000001</v>
      </c>
      <c r="P40" s="11">
        <v>5807977.7060000002</v>
      </c>
      <c r="Q40" s="7" t="s">
        <v>240</v>
      </c>
      <c r="R40" s="11">
        <f>O40/3883</f>
        <v>1536.7399871233583</v>
      </c>
      <c r="S40" s="7" t="s">
        <v>41</v>
      </c>
      <c r="T40" s="12">
        <v>134932</v>
      </c>
      <c r="U40" s="13" t="s">
        <v>42</v>
      </c>
      <c r="V40" s="7" t="s">
        <v>43</v>
      </c>
      <c r="W40" s="10">
        <v>42495</v>
      </c>
      <c r="X40" s="10">
        <v>42560</v>
      </c>
      <c r="Y40" s="7" t="s">
        <v>241</v>
      </c>
      <c r="Z40" s="7" t="s">
        <v>231</v>
      </c>
      <c r="AA40" s="7" t="s">
        <v>232</v>
      </c>
      <c r="AB40" s="21" t="s">
        <v>1369</v>
      </c>
      <c r="AC40" s="6" t="s">
        <v>2438</v>
      </c>
      <c r="AD40" s="6"/>
    </row>
    <row r="41" spans="1:30" ht="69.95" customHeight="1">
      <c r="A41" s="34">
        <v>27</v>
      </c>
      <c r="B41" s="7">
        <v>2016</v>
      </c>
      <c r="C41" s="6" t="s">
        <v>31</v>
      </c>
      <c r="D41" s="6" t="s">
        <v>242</v>
      </c>
      <c r="E41" s="10">
        <v>42494</v>
      </c>
      <c r="F41" s="32" t="s">
        <v>243</v>
      </c>
      <c r="G41" s="6" t="s">
        <v>63</v>
      </c>
      <c r="H41" s="39">
        <v>9872599.0299999993</v>
      </c>
      <c r="I41" s="6" t="s">
        <v>244</v>
      </c>
      <c r="J41" s="6" t="s">
        <v>245</v>
      </c>
      <c r="K41" s="7" t="s">
        <v>246</v>
      </c>
      <c r="L41" s="7" t="s">
        <v>247</v>
      </c>
      <c r="M41" s="6" t="s">
        <v>248</v>
      </c>
      <c r="N41" s="7" t="s">
        <v>249</v>
      </c>
      <c r="O41" s="11">
        <f t="shared" si="0"/>
        <v>9872599.0299999993</v>
      </c>
      <c r="P41" s="11">
        <v>9872599.0299999993</v>
      </c>
      <c r="Q41" s="7" t="s">
        <v>250</v>
      </c>
      <c r="R41" s="11">
        <f>O41/32145</f>
        <v>307.12705024109499</v>
      </c>
      <c r="S41" s="7" t="s">
        <v>41</v>
      </c>
      <c r="T41" s="12">
        <v>119586</v>
      </c>
      <c r="U41" s="13" t="s">
        <v>42</v>
      </c>
      <c r="V41" s="7" t="s">
        <v>43</v>
      </c>
      <c r="W41" s="10">
        <v>42495</v>
      </c>
      <c r="X41" s="10">
        <v>42591</v>
      </c>
      <c r="Y41" s="7" t="s">
        <v>251</v>
      </c>
      <c r="Z41" s="7" t="s">
        <v>252</v>
      </c>
      <c r="AA41" s="7" t="s">
        <v>253</v>
      </c>
      <c r="AB41" s="21" t="s">
        <v>3275</v>
      </c>
      <c r="AC41" s="6" t="s">
        <v>2438</v>
      </c>
      <c r="AD41" s="6"/>
    </row>
    <row r="42" spans="1:30" ht="69.95" customHeight="1">
      <c r="A42" s="34">
        <v>28</v>
      </c>
      <c r="B42" s="7">
        <v>2016</v>
      </c>
      <c r="C42" s="6" t="s">
        <v>31</v>
      </c>
      <c r="D42" s="6" t="s">
        <v>254</v>
      </c>
      <c r="E42" s="10">
        <v>42494</v>
      </c>
      <c r="F42" s="32" t="s">
        <v>255</v>
      </c>
      <c r="G42" s="6" t="s">
        <v>63</v>
      </c>
      <c r="H42" s="39">
        <v>9423095.6600000001</v>
      </c>
      <c r="I42" s="6" t="s">
        <v>244</v>
      </c>
      <c r="J42" s="6" t="s">
        <v>245</v>
      </c>
      <c r="K42" s="7" t="s">
        <v>246</v>
      </c>
      <c r="L42" s="7" t="s">
        <v>247</v>
      </c>
      <c r="M42" s="6" t="s">
        <v>248</v>
      </c>
      <c r="N42" s="7" t="s">
        <v>249</v>
      </c>
      <c r="O42" s="11">
        <v>9423095.6600000001</v>
      </c>
      <c r="P42" s="11">
        <v>9423095.5500000007</v>
      </c>
      <c r="Q42" s="7" t="s">
        <v>256</v>
      </c>
      <c r="R42" s="11">
        <f>O42/30824</f>
        <v>305.70645146638981</v>
      </c>
      <c r="S42" s="7" t="s">
        <v>41</v>
      </c>
      <c r="T42" s="12">
        <v>119586</v>
      </c>
      <c r="U42" s="13" t="s">
        <v>42</v>
      </c>
      <c r="V42" s="7" t="s">
        <v>43</v>
      </c>
      <c r="W42" s="10">
        <v>42495</v>
      </c>
      <c r="X42" s="10">
        <v>42591</v>
      </c>
      <c r="Y42" s="7" t="s">
        <v>251</v>
      </c>
      <c r="Z42" s="7" t="s">
        <v>252</v>
      </c>
      <c r="AA42" s="7" t="s">
        <v>253</v>
      </c>
      <c r="AB42" s="21" t="s">
        <v>2762</v>
      </c>
      <c r="AC42" s="6" t="s">
        <v>2438</v>
      </c>
      <c r="AD42" s="6"/>
    </row>
    <row r="43" spans="1:30" ht="69.95" customHeight="1">
      <c r="A43" s="34">
        <v>29</v>
      </c>
      <c r="B43" s="7">
        <v>2016</v>
      </c>
      <c r="C43" s="6" t="s">
        <v>31</v>
      </c>
      <c r="D43" s="6" t="s">
        <v>257</v>
      </c>
      <c r="E43" s="10">
        <v>42494</v>
      </c>
      <c r="F43" s="32" t="s">
        <v>258</v>
      </c>
      <c r="G43" s="6" t="s">
        <v>63</v>
      </c>
      <c r="H43" s="39">
        <v>5474275.04</v>
      </c>
      <c r="I43" s="6" t="s">
        <v>244</v>
      </c>
      <c r="J43" s="6" t="s">
        <v>259</v>
      </c>
      <c r="K43" s="7" t="s">
        <v>260</v>
      </c>
      <c r="L43" s="7" t="s">
        <v>261</v>
      </c>
      <c r="M43" s="6" t="s">
        <v>262</v>
      </c>
      <c r="N43" s="7" t="s">
        <v>263</v>
      </c>
      <c r="O43" s="11">
        <f t="shared" ref="O43:O56" si="1">H43</f>
        <v>5474275.04</v>
      </c>
      <c r="P43" s="11">
        <v>4977373.6244000001</v>
      </c>
      <c r="Q43" s="7" t="s">
        <v>264</v>
      </c>
      <c r="R43" s="11">
        <f>O43/17667</f>
        <v>309.85877851361295</v>
      </c>
      <c r="S43" s="7" t="s">
        <v>41</v>
      </c>
      <c r="T43" s="12">
        <v>119586</v>
      </c>
      <c r="U43" s="13" t="s">
        <v>42</v>
      </c>
      <c r="V43" s="7" t="s">
        <v>43</v>
      </c>
      <c r="W43" s="10">
        <v>42495</v>
      </c>
      <c r="X43" s="10">
        <v>42591</v>
      </c>
      <c r="Y43" s="7" t="s">
        <v>251</v>
      </c>
      <c r="Z43" s="7" t="s">
        <v>252</v>
      </c>
      <c r="AA43" s="7" t="s">
        <v>253</v>
      </c>
      <c r="AB43" s="21" t="s">
        <v>1370</v>
      </c>
      <c r="AC43" s="6" t="s">
        <v>2438</v>
      </c>
      <c r="AD43" s="6"/>
    </row>
    <row r="44" spans="1:30" ht="69.95" customHeight="1">
      <c r="A44" s="34">
        <v>30</v>
      </c>
      <c r="B44" s="7">
        <v>2016</v>
      </c>
      <c r="C44" s="6" t="s">
        <v>31</v>
      </c>
      <c r="D44" s="6" t="s">
        <v>265</v>
      </c>
      <c r="E44" s="10">
        <v>42494</v>
      </c>
      <c r="F44" s="32" t="s">
        <v>266</v>
      </c>
      <c r="G44" s="6" t="s">
        <v>63</v>
      </c>
      <c r="H44" s="39">
        <v>6468498.2699999996</v>
      </c>
      <c r="I44" s="6" t="s">
        <v>244</v>
      </c>
      <c r="J44" s="6" t="s">
        <v>267</v>
      </c>
      <c r="K44" s="7" t="s">
        <v>268</v>
      </c>
      <c r="L44" s="7" t="s">
        <v>130</v>
      </c>
      <c r="M44" s="6" t="s">
        <v>269</v>
      </c>
      <c r="N44" s="7" t="s">
        <v>270</v>
      </c>
      <c r="O44" s="11">
        <f t="shared" si="1"/>
        <v>6468498.2699999996</v>
      </c>
      <c r="P44" s="11">
        <v>6301340.6999999993</v>
      </c>
      <c r="Q44" s="7" t="s">
        <v>271</v>
      </c>
      <c r="R44" s="11">
        <f>O44/16932</f>
        <v>382.0280102763997</v>
      </c>
      <c r="S44" s="7" t="s">
        <v>41</v>
      </c>
      <c r="T44" s="12">
        <v>119586</v>
      </c>
      <c r="U44" s="13" t="s">
        <v>42</v>
      </c>
      <c r="V44" s="7" t="s">
        <v>43</v>
      </c>
      <c r="W44" s="10">
        <v>42495</v>
      </c>
      <c r="X44" s="10">
        <v>42591</v>
      </c>
      <c r="Y44" s="7" t="s">
        <v>251</v>
      </c>
      <c r="Z44" s="7" t="s">
        <v>252</v>
      </c>
      <c r="AA44" s="7" t="s">
        <v>253</v>
      </c>
      <c r="AB44" s="21" t="s">
        <v>1371</v>
      </c>
      <c r="AC44" s="13" t="s">
        <v>1324</v>
      </c>
      <c r="AD44" s="7"/>
    </row>
    <row r="45" spans="1:30" ht="69.95" customHeight="1">
      <c r="A45" s="34">
        <v>32</v>
      </c>
      <c r="B45" s="7">
        <v>2016</v>
      </c>
      <c r="C45" s="6" t="s">
        <v>62</v>
      </c>
      <c r="D45" s="6" t="str">
        <f>'[1]V, inciso o) (OP)'!C30</f>
        <v>DOPI-MUN-RP-OC-AD-032-16</v>
      </c>
      <c r="E45" s="10">
        <f>'[1]V, inciso o) (OP)'!V30</f>
        <v>42461</v>
      </c>
      <c r="F45" s="32" t="str">
        <f>'[1]V, inciso o) (OP)'!AA30</f>
        <v>Desazolve y limpieza en el canal Tepeyac ubicado en la Avenida Las Torres colonia Miramar; desazolve, limpieza y rehabilitación de mampostería en el canal Puerta Plata ubicado en las colonias Royal Country y Puerta Plata, municipio de Zapopan, Jalisco.</v>
      </c>
      <c r="G45" s="6" t="s">
        <v>3308</v>
      </c>
      <c r="H45" s="39">
        <v>1555449.71</v>
      </c>
      <c r="I45" s="6" t="s">
        <v>272</v>
      </c>
      <c r="J45" s="6" t="str">
        <f>'[1]V, inciso o) (OP)'!G30</f>
        <v>Raul</v>
      </c>
      <c r="K45" s="7" t="str">
        <f>'[1]V, inciso o) (OP)'!H30</f>
        <v>Ortega</v>
      </c>
      <c r="L45" s="7" t="str">
        <f>'[1]V, inciso o) (OP)'!I30</f>
        <v>Jara</v>
      </c>
      <c r="M45" s="6" t="s">
        <v>2947</v>
      </c>
      <c r="N45" s="7" t="str">
        <f>'[1]V, inciso o) (OP)'!K30</f>
        <v>CAN030528ME0</v>
      </c>
      <c r="O45" s="11">
        <f t="shared" si="1"/>
        <v>1555449.71</v>
      </c>
      <c r="P45" s="11">
        <v>1405684.5955999999</v>
      </c>
      <c r="Q45" s="7" t="s">
        <v>273</v>
      </c>
      <c r="R45" s="11">
        <f>O45/44265</f>
        <v>35.139494182762903</v>
      </c>
      <c r="S45" s="7" t="s">
        <v>41</v>
      </c>
      <c r="T45" s="12">
        <v>13837</v>
      </c>
      <c r="U45" s="13" t="s">
        <v>42</v>
      </c>
      <c r="V45" s="7" t="s">
        <v>43</v>
      </c>
      <c r="W45" s="10">
        <f>'[1]V, inciso o) (OP)'!AD30</f>
        <v>42464</v>
      </c>
      <c r="X45" s="10">
        <f>'[1]V, inciso o) (OP)'!AE30</f>
        <v>42536</v>
      </c>
      <c r="Y45" s="7" t="s">
        <v>230</v>
      </c>
      <c r="Z45" s="7" t="s">
        <v>274</v>
      </c>
      <c r="AA45" s="7" t="s">
        <v>275</v>
      </c>
      <c r="AB45" s="21" t="s">
        <v>1492</v>
      </c>
      <c r="AC45" s="6" t="s">
        <v>2438</v>
      </c>
      <c r="AD45" s="6"/>
    </row>
    <row r="46" spans="1:30" ht="69.95" customHeight="1">
      <c r="A46" s="34">
        <v>33</v>
      </c>
      <c r="B46" s="7">
        <v>2016</v>
      </c>
      <c r="C46" s="6" t="s">
        <v>62</v>
      </c>
      <c r="D46" s="6" t="str">
        <f>'[1]V, inciso o) (OP)'!C31</f>
        <v>DOPI-MUN-RP-IM-AD-033-16</v>
      </c>
      <c r="E46" s="10">
        <f>'[1]V, inciso o) (OP)'!V31</f>
        <v>42461</v>
      </c>
      <c r="F46" s="6" t="str">
        <f>'[1]V, inciso o) (OP)'!AA31</f>
        <v>Construcción de muro y rehabilitación de banquetas en Panteón Municipal ubicado en la localidad de Santa Ana Tepetitlán, municipio de Zapopan, Jalisco.</v>
      </c>
      <c r="G46" s="6" t="s">
        <v>3308</v>
      </c>
      <c r="H46" s="39">
        <v>476740.63</v>
      </c>
      <c r="I46" s="6" t="s">
        <v>276</v>
      </c>
      <c r="J46" s="6" t="str">
        <f>'[1]V, inciso o) (OP)'!G31</f>
        <v>Juan José</v>
      </c>
      <c r="K46" s="7" t="str">
        <f>'[1]V, inciso o) (OP)'!H31</f>
        <v>Gutiérrez</v>
      </c>
      <c r="L46" s="7" t="str">
        <f>'[1]V, inciso o) (OP)'!I31</f>
        <v>Contreras</v>
      </c>
      <c r="M46" s="6" t="s">
        <v>2948</v>
      </c>
      <c r="N46" s="7" t="str">
        <f>'[1]V, inciso o) (OP)'!K31</f>
        <v>RCO130920JX9</v>
      </c>
      <c r="O46" s="11">
        <f t="shared" si="1"/>
        <v>476740.63</v>
      </c>
      <c r="P46" s="11">
        <v>466284.79999999999</v>
      </c>
      <c r="Q46" s="7" t="s">
        <v>277</v>
      </c>
      <c r="R46" s="11">
        <f>O46/248</f>
        <v>1922.3412499999999</v>
      </c>
      <c r="S46" s="7" t="s">
        <v>41</v>
      </c>
      <c r="T46" s="12">
        <v>171759</v>
      </c>
      <c r="U46" s="13" t="s">
        <v>42</v>
      </c>
      <c r="V46" s="7" t="s">
        <v>43</v>
      </c>
      <c r="W46" s="10">
        <f>'[1]V, inciso o) (OP)'!AD31</f>
        <v>42464</v>
      </c>
      <c r="X46" s="10">
        <f>'[1]V, inciso o) (OP)'!AE31</f>
        <v>42510</v>
      </c>
      <c r="Y46" s="7" t="s">
        <v>278</v>
      </c>
      <c r="Z46" s="7" t="s">
        <v>279</v>
      </c>
      <c r="AA46" s="7" t="s">
        <v>78</v>
      </c>
      <c r="AB46" s="21" t="s">
        <v>1352</v>
      </c>
      <c r="AC46" s="6" t="s">
        <v>2438</v>
      </c>
      <c r="AD46" s="6"/>
    </row>
    <row r="47" spans="1:30" ht="69.95" customHeight="1">
      <c r="A47" s="34">
        <v>34</v>
      </c>
      <c r="B47" s="7">
        <v>2016</v>
      </c>
      <c r="C47" s="6" t="s">
        <v>62</v>
      </c>
      <c r="D47" s="6" t="str">
        <f>'[1]V, inciso o) (OP)'!C32</f>
        <v>DOPI-MUN-RP-OC-AD-034-16</v>
      </c>
      <c r="E47" s="10">
        <f>'[1]V, inciso o) (OP)'!V32</f>
        <v>42467</v>
      </c>
      <c r="F47" s="6" t="str">
        <f>'[1]V, inciso o) (OP)'!AA32</f>
        <v>Desazolve y rectificación del arroyo seco en el tramo de la colonia Periodistas; en la colonia El Mante y del arroyo El Garabato en la colonia El Briseño, municipio de Zapopan, Jalisco.</v>
      </c>
      <c r="G47" s="6" t="s">
        <v>3308</v>
      </c>
      <c r="H47" s="39">
        <v>1475860.34</v>
      </c>
      <c r="I47" s="6" t="s">
        <v>280</v>
      </c>
      <c r="J47" s="6" t="str">
        <f>'[1]V, inciso o) (OP)'!G32</f>
        <v>Bernardo</v>
      </c>
      <c r="K47" s="7" t="str">
        <f>'[1]V, inciso o) (OP)'!H32</f>
        <v>Saenz</v>
      </c>
      <c r="L47" s="7" t="str">
        <f>'[1]V, inciso o) (OP)'!I32</f>
        <v>Barba</v>
      </c>
      <c r="M47" s="6" t="s">
        <v>2949</v>
      </c>
      <c r="N47" s="7" t="str">
        <f>'[1]V, inciso o) (OP)'!K32</f>
        <v>GEM070112PX8</v>
      </c>
      <c r="O47" s="11">
        <f t="shared" si="1"/>
        <v>1475860.34</v>
      </c>
      <c r="P47" s="11">
        <v>1475828.06</v>
      </c>
      <c r="Q47" s="7" t="s">
        <v>281</v>
      </c>
      <c r="R47" s="11">
        <f>O47/37800</f>
        <v>39.043924338624343</v>
      </c>
      <c r="S47" s="7" t="s">
        <v>41</v>
      </c>
      <c r="T47" s="12">
        <v>6696</v>
      </c>
      <c r="U47" s="13" t="s">
        <v>42</v>
      </c>
      <c r="V47" s="7" t="s">
        <v>43</v>
      </c>
      <c r="W47" s="10">
        <f>'[1]V, inciso o) (OP)'!AD32</f>
        <v>42471</v>
      </c>
      <c r="X47" s="10">
        <f>'[1]V, inciso o) (OP)'!AE32</f>
        <v>42536</v>
      </c>
      <c r="Y47" s="7" t="s">
        <v>87</v>
      </c>
      <c r="Z47" s="7" t="s">
        <v>282</v>
      </c>
      <c r="AA47" s="7" t="s">
        <v>89</v>
      </c>
      <c r="AB47" s="21" t="s">
        <v>1372</v>
      </c>
      <c r="AC47" s="6" t="s">
        <v>2438</v>
      </c>
      <c r="AD47" s="6"/>
    </row>
    <row r="48" spans="1:30" ht="69.95" customHeight="1">
      <c r="A48" s="34">
        <v>35</v>
      </c>
      <c r="B48" s="7">
        <v>2016</v>
      </c>
      <c r="C48" s="6" t="s">
        <v>62</v>
      </c>
      <c r="D48" s="6" t="str">
        <f>'[1]V, inciso o) (OP)'!C33</f>
        <v>DOPI-MUN-RP-OC-AD-035-16</v>
      </c>
      <c r="E48" s="10">
        <f>'[1]V, inciso o) (OP)'!V33</f>
        <v>42475</v>
      </c>
      <c r="F48" s="6" t="str">
        <f>'[1]V, inciso o) (OP)'!AA33</f>
        <v>Desazolve, limpieza y rectificación de canal La Martinica - Paseo de las Aves en el tramo de la colonia Altagracia y la colonia La Martinica; desazolve y limpieza del Arroyo Hondo en la colonia Arroyo Hondo, Municipio de Zapopan, Jalisco.</v>
      </c>
      <c r="G48" s="6" t="s">
        <v>3308</v>
      </c>
      <c r="H48" s="39">
        <v>1495685.74</v>
      </c>
      <c r="I48" s="6" t="s">
        <v>283</v>
      </c>
      <c r="J48" s="6" t="str">
        <f>'[1]V, inciso o) (OP)'!G33</f>
        <v>Jorge Guillermo</v>
      </c>
      <c r="K48" s="7" t="str">
        <f>'[1]V, inciso o) (OP)'!H33</f>
        <v>Malacón</v>
      </c>
      <c r="L48" s="7" t="str">
        <f>'[1]V, inciso o) (OP)'!I33</f>
        <v>Sainz</v>
      </c>
      <c r="M48" s="6" t="s">
        <v>2950</v>
      </c>
      <c r="N48" s="7" t="str">
        <f>'[1]V, inciso o) (OP)'!K33</f>
        <v>EYA020712BQ6</v>
      </c>
      <c r="O48" s="11">
        <f t="shared" si="1"/>
        <v>1495685.74</v>
      </c>
      <c r="P48" s="11">
        <v>1495685.62</v>
      </c>
      <c r="Q48" s="7" t="s">
        <v>284</v>
      </c>
      <c r="R48" s="11">
        <f>O48/44056</f>
        <v>33.949649082985289</v>
      </c>
      <c r="S48" s="7" t="s">
        <v>41</v>
      </c>
      <c r="T48" s="12">
        <v>10603</v>
      </c>
      <c r="U48" s="13" t="s">
        <v>42</v>
      </c>
      <c r="V48" s="7" t="s">
        <v>43</v>
      </c>
      <c r="W48" s="10">
        <f>'[1]V, inciso o) (OP)'!AD33</f>
        <v>42478</v>
      </c>
      <c r="X48" s="10">
        <f>'[1]V, inciso o) (OP)'!AE33</f>
        <v>42551</v>
      </c>
      <c r="Y48" s="7" t="s">
        <v>190</v>
      </c>
      <c r="Z48" s="7" t="s">
        <v>191</v>
      </c>
      <c r="AA48" s="7" t="s">
        <v>68</v>
      </c>
      <c r="AB48" s="21" t="s">
        <v>1351</v>
      </c>
      <c r="AC48" s="6" t="s">
        <v>2438</v>
      </c>
      <c r="AD48" s="6"/>
    </row>
    <row r="49" spans="1:30" ht="69.95" customHeight="1">
      <c r="A49" s="34">
        <v>36</v>
      </c>
      <c r="B49" s="7">
        <v>2016</v>
      </c>
      <c r="C49" s="6" t="s">
        <v>62</v>
      </c>
      <c r="D49" s="6" t="str">
        <f>'[1]V, inciso o) (OP)'!C34</f>
        <v>DOPI-MUN-RP-IM-AD-036-16</v>
      </c>
      <c r="E49" s="10">
        <f>'[1]V, inciso o) (OP)'!V34</f>
        <v>42475</v>
      </c>
      <c r="F49" s="6" t="str">
        <f>'[1]V, inciso o) (OP)'!AA34</f>
        <v>Construcción de Bóveda de seguridad para alojamiento de valores en la recaudadora No. 6 ubicada en la Avenida Guadalupe esquina Periférico Poniente Manuel Gómez Morín, municipio de Zapopan, Jalisco.</v>
      </c>
      <c r="G49" s="6" t="s">
        <v>3308</v>
      </c>
      <c r="H49" s="39">
        <v>225850.48</v>
      </c>
      <c r="I49" s="6" t="s">
        <v>285</v>
      </c>
      <c r="J49" s="6" t="str">
        <f>'[1]V, inciso o) (OP)'!G34</f>
        <v>Victor Martín</v>
      </c>
      <c r="K49" s="7" t="str">
        <f>'[1]V, inciso o) (OP)'!H34</f>
        <v>López</v>
      </c>
      <c r="L49" s="7" t="str">
        <f>'[1]V, inciso o) (OP)'!I34</f>
        <v>Santos</v>
      </c>
      <c r="M49" s="6" t="s">
        <v>2951</v>
      </c>
      <c r="N49" s="7" t="str">
        <f>'[1]V, inciso o) (OP)'!K34</f>
        <v>CCI020411HS5</v>
      </c>
      <c r="O49" s="11">
        <f t="shared" si="1"/>
        <v>225850.48</v>
      </c>
      <c r="P49" s="11">
        <v>224514.38</v>
      </c>
      <c r="Q49" s="7" t="s">
        <v>286</v>
      </c>
      <c r="R49" s="11">
        <f>O49/23</f>
        <v>9819.5860869565222</v>
      </c>
      <c r="S49" s="7" t="s">
        <v>41</v>
      </c>
      <c r="T49" s="12">
        <v>25</v>
      </c>
      <c r="U49" s="13" t="s">
        <v>42</v>
      </c>
      <c r="V49" s="7" t="s">
        <v>43</v>
      </c>
      <c r="W49" s="10">
        <f>'[1]V, inciso o) (OP)'!AD34</f>
        <v>42478</v>
      </c>
      <c r="X49" s="10">
        <f>'[1]V, inciso o) (OP)'!AE34</f>
        <v>42525</v>
      </c>
      <c r="Y49" s="7" t="s">
        <v>230</v>
      </c>
      <c r="Z49" s="7" t="s">
        <v>231</v>
      </c>
      <c r="AA49" s="7" t="s">
        <v>143</v>
      </c>
      <c r="AB49" s="21" t="s">
        <v>2910</v>
      </c>
      <c r="AC49" s="6" t="s">
        <v>2438</v>
      </c>
      <c r="AD49" s="6"/>
    </row>
    <row r="50" spans="1:30" ht="69.95" customHeight="1">
      <c r="A50" s="34">
        <v>37</v>
      </c>
      <c r="B50" s="7">
        <v>2016</v>
      </c>
      <c r="C50" s="6" t="s">
        <v>62</v>
      </c>
      <c r="D50" s="6" t="str">
        <f>'[1]V, inciso o) (OP)'!C35</f>
        <v>DOPI-MUN-RP-IM-AD-037-16</v>
      </c>
      <c r="E50" s="10">
        <f>'[1]V, inciso o) (OP)'!V35</f>
        <v>42482</v>
      </c>
      <c r="F50" s="6" t="str">
        <f>'[1]V, inciso o) (OP)'!AA35</f>
        <v>Rehabilitación en las oficinas y ampliación de comedor de empleados en el Dif Laureles, ubicado en Avenida Juan Pablo II, esquina con calle Lázaro Cárdenas, municipio de Zapopan, Jalisco.</v>
      </c>
      <c r="G50" s="6" t="s">
        <v>63</v>
      </c>
      <c r="H50" s="39">
        <v>385554.88</v>
      </c>
      <c r="I50" s="6" t="s">
        <v>287</v>
      </c>
      <c r="J50" s="6" t="str">
        <f>'[1]V, inciso o) (OP)'!G35</f>
        <v>Adriana Del Refugio</v>
      </c>
      <c r="K50" s="7" t="str">
        <f>'[1]V, inciso o) (OP)'!H35</f>
        <v>De la Torre</v>
      </c>
      <c r="L50" s="7" t="str">
        <f>'[1]V, inciso o) (OP)'!I35</f>
        <v>Martín</v>
      </c>
      <c r="M50" s="6" t="s">
        <v>2952</v>
      </c>
      <c r="N50" s="7" t="str">
        <f>'[1]V, inciso o) (OP)'!K35</f>
        <v>SCO040813IIA</v>
      </c>
      <c r="O50" s="11">
        <f t="shared" si="1"/>
        <v>385554.88</v>
      </c>
      <c r="P50" s="11">
        <v>361144.18000000005</v>
      </c>
      <c r="Q50" s="7" t="s">
        <v>288</v>
      </c>
      <c r="R50" s="11">
        <f>O50/125</f>
        <v>3084.4390400000002</v>
      </c>
      <c r="S50" s="7" t="s">
        <v>41</v>
      </c>
      <c r="T50" s="12">
        <v>172</v>
      </c>
      <c r="U50" s="13" t="s">
        <v>42</v>
      </c>
      <c r="V50" s="7" t="s">
        <v>43</v>
      </c>
      <c r="W50" s="10">
        <f>'[1]V, inciso o) (OP)'!AD35</f>
        <v>42485</v>
      </c>
      <c r="X50" s="10">
        <f>'[1]V, inciso o) (OP)'!AE35</f>
        <v>42521</v>
      </c>
      <c r="Y50" s="7" t="s">
        <v>289</v>
      </c>
      <c r="Z50" s="7" t="s">
        <v>290</v>
      </c>
      <c r="AA50" s="7" t="s">
        <v>73</v>
      </c>
      <c r="AB50" s="21" t="s">
        <v>2911</v>
      </c>
      <c r="AC50" s="6" t="s">
        <v>2438</v>
      </c>
      <c r="AD50" s="6"/>
    </row>
    <row r="51" spans="1:30" ht="69.95" customHeight="1">
      <c r="A51" s="34">
        <v>38</v>
      </c>
      <c r="B51" s="7">
        <v>2016</v>
      </c>
      <c r="C51" s="6" t="s">
        <v>62</v>
      </c>
      <c r="D51" s="6" t="str">
        <f>'[1]V, inciso o) (OP)'!C36</f>
        <v>DOPI-MUN-RP-OC-AD-038-16</v>
      </c>
      <c r="E51" s="10">
        <f>'[1]V, inciso o) (OP)'!V36</f>
        <v>42482</v>
      </c>
      <c r="F51" s="32" t="str">
        <f>'[1]V, inciso o) (OP)'!AA36</f>
        <v>Obras de protección consistentes en construcción de muro de mampostería; construcción de plantilla de zampeado en el arroyo Bugambilias de la colonia La Florida hasta el límite municipal; construcción de muro de contención de mampostería y construcción de losa de piso de mampostería, incluye limpieza y desazolve en la calle Gigante, calle Pino y calle Vicente Guerrero en la colonia Primavera Vicente Guerrero, Municipio de Zapopan, Jalisco.</v>
      </c>
      <c r="G51" s="6" t="s">
        <v>3308</v>
      </c>
      <c r="H51" s="39">
        <v>758305.64</v>
      </c>
      <c r="I51" s="6" t="s">
        <v>291</v>
      </c>
      <c r="J51" s="6" t="str">
        <f>'[1]V, inciso o) (OP)'!G36</f>
        <v>Omar</v>
      </c>
      <c r="K51" s="7" t="str">
        <f>'[1]V, inciso o) (OP)'!H36</f>
        <v>Mora</v>
      </c>
      <c r="L51" s="7" t="str">
        <f>'[1]V, inciso o) (OP)'!I36</f>
        <v>Montes de Oca</v>
      </c>
      <c r="M51" s="6" t="s">
        <v>2953</v>
      </c>
      <c r="N51" s="7" t="str">
        <f>'[1]V, inciso o) (OP)'!K36</f>
        <v>DCO130215C16</v>
      </c>
      <c r="O51" s="11">
        <f t="shared" si="1"/>
        <v>758305.64</v>
      </c>
      <c r="P51" s="11">
        <v>758301.15</v>
      </c>
      <c r="Q51" s="7" t="s">
        <v>292</v>
      </c>
      <c r="R51" s="11">
        <f>O51/216</f>
        <v>3510.6742592592595</v>
      </c>
      <c r="S51" s="7" t="s">
        <v>41</v>
      </c>
      <c r="T51" s="12">
        <v>4320</v>
      </c>
      <c r="U51" s="13" t="s">
        <v>42</v>
      </c>
      <c r="V51" s="7" t="s">
        <v>43</v>
      </c>
      <c r="W51" s="10">
        <f>'[1]V, inciso o) (OP)'!AD36</f>
        <v>42485</v>
      </c>
      <c r="X51" s="10">
        <f>'[1]V, inciso o) (OP)'!AE36</f>
        <v>42536</v>
      </c>
      <c r="Y51" s="7" t="s">
        <v>87</v>
      </c>
      <c r="Z51" s="7" t="s">
        <v>282</v>
      </c>
      <c r="AA51" s="7" t="s">
        <v>89</v>
      </c>
      <c r="AB51" s="21" t="s">
        <v>1408</v>
      </c>
      <c r="AC51" s="6" t="s">
        <v>2438</v>
      </c>
      <c r="AD51" s="6"/>
    </row>
    <row r="52" spans="1:30" ht="69.95" customHeight="1">
      <c r="A52" s="34">
        <v>39</v>
      </c>
      <c r="B52" s="7">
        <v>2016</v>
      </c>
      <c r="C52" s="6" t="s">
        <v>62</v>
      </c>
      <c r="D52" s="6" t="str">
        <f>'[1]V, inciso o) (OP)'!C37</f>
        <v>DOPI-MUN-RP-ELE-AD-039-16</v>
      </c>
      <c r="E52" s="10">
        <f>'[1]V, inciso o) (OP)'!V37</f>
        <v>42475</v>
      </c>
      <c r="F52" s="6" t="str">
        <f>'[1]V, inciso o) (OP)'!AA37</f>
        <v>Red de alumbrado público y baja tensión en la calle Las Palmas y calle San Gonzálo en la colonia La Limera, municipio de Zapopan Jalisco.</v>
      </c>
      <c r="G52" s="6" t="s">
        <v>63</v>
      </c>
      <c r="H52" s="39">
        <v>377452.12</v>
      </c>
      <c r="I52" s="6" t="s">
        <v>293</v>
      </c>
      <c r="J52" s="6" t="str">
        <f>'[1]V, inciso o) (OP)'!G37</f>
        <v>Juan Pablo</v>
      </c>
      <c r="K52" s="7" t="str">
        <f>'[1]V, inciso o) (OP)'!H37</f>
        <v>Vera</v>
      </c>
      <c r="L52" s="7" t="str">
        <f>'[1]V, inciso o) (OP)'!I37</f>
        <v>Tavares</v>
      </c>
      <c r="M52" s="6" t="s">
        <v>2954</v>
      </c>
      <c r="N52" s="7" t="str">
        <f>'[1]V, inciso o) (OP)'!K37</f>
        <v>LCO080228DN2</v>
      </c>
      <c r="O52" s="11">
        <f t="shared" si="1"/>
        <v>377452.12</v>
      </c>
      <c r="P52" s="11">
        <v>273164.68</v>
      </c>
      <c r="Q52" s="7" t="s">
        <v>294</v>
      </c>
      <c r="R52" s="11">
        <f>O52/735</f>
        <v>513.54029931972786</v>
      </c>
      <c r="S52" s="7" t="s">
        <v>41</v>
      </c>
      <c r="T52" s="12">
        <v>865</v>
      </c>
      <c r="U52" s="13" t="s">
        <v>42</v>
      </c>
      <c r="V52" s="7" t="s">
        <v>43</v>
      </c>
      <c r="W52" s="10">
        <f>'[1]V, inciso o) (OP)'!AD37</f>
        <v>42478</v>
      </c>
      <c r="X52" s="10">
        <f>'[1]V, inciso o) (OP)'!AE37</f>
        <v>42545</v>
      </c>
      <c r="Y52" s="7" t="s">
        <v>295</v>
      </c>
      <c r="Z52" s="7" t="s">
        <v>296</v>
      </c>
      <c r="AA52" s="7" t="s">
        <v>297</v>
      </c>
      <c r="AB52" s="21" t="s">
        <v>2551</v>
      </c>
      <c r="AC52" s="6" t="s">
        <v>2438</v>
      </c>
      <c r="AD52" s="6"/>
    </row>
    <row r="53" spans="1:30" ht="69.95" customHeight="1">
      <c r="A53" s="34">
        <v>40</v>
      </c>
      <c r="B53" s="7">
        <v>2016</v>
      </c>
      <c r="C53" s="6" t="s">
        <v>62</v>
      </c>
      <c r="D53" s="6" t="str">
        <f>'[1]V, inciso o) (OP)'!C38</f>
        <v>DOPI-MUN-RP-ELE-AD-040-16</v>
      </c>
      <c r="E53" s="10">
        <f>'[1]V, inciso o) (OP)'!V38</f>
        <v>42461</v>
      </c>
      <c r="F53" s="32" t="str">
        <f>'[1]V, inciso o) (OP)'!AA38</f>
        <v>Red de alumbrado público en las calles Ecología de Conservación a Naturaleza, Conservación de Ecología a Naturaleza, Naturaleza de Conservación a Ecología, en la colonia Río Blanco; Electrificación en media y baja tensión y alumbrado público en las calles Manzano de San Francisco a Matamoros, San Miguel de San Francisco a Matamoros, Santa María  de San Francisco a Matamoros, Dolores Rodríguez de Matamoros a Ameca, Jalisco de Matamoros a Ameca en la colonia Lomas del Refugio, municipio de Zapopan, Jalisco.</v>
      </c>
      <c r="G53" s="6" t="s">
        <v>63</v>
      </c>
      <c r="H53" s="39">
        <v>365693.05</v>
      </c>
      <c r="I53" s="6" t="s">
        <v>298</v>
      </c>
      <c r="J53" s="6" t="str">
        <f>'[1]V, inciso o) (OP)'!G38</f>
        <v>Armando</v>
      </c>
      <c r="K53" s="7" t="str">
        <f>'[1]V, inciso o) (OP)'!H38</f>
        <v>Arroyo</v>
      </c>
      <c r="L53" s="7" t="str">
        <f>'[1]V, inciso o) (OP)'!I38</f>
        <v>Zepeda</v>
      </c>
      <c r="M53" s="6" t="s">
        <v>2955</v>
      </c>
      <c r="N53" s="7" t="str">
        <f>'[1]V, inciso o) (OP)'!K38</f>
        <v>CEI000807E95</v>
      </c>
      <c r="O53" s="11">
        <f t="shared" si="1"/>
        <v>365693.05</v>
      </c>
      <c r="P53" s="11">
        <v>262262.07</v>
      </c>
      <c r="Q53" s="7" t="s">
        <v>299</v>
      </c>
      <c r="R53" s="11">
        <f>O53/1543</f>
        <v>237.00132858068696</v>
      </c>
      <c r="S53" s="7" t="s">
        <v>41</v>
      </c>
      <c r="T53" s="12">
        <v>1766</v>
      </c>
      <c r="U53" s="13" t="s">
        <v>42</v>
      </c>
      <c r="V53" s="7" t="s">
        <v>43</v>
      </c>
      <c r="W53" s="10">
        <f>'[1]V, inciso o) (OP)'!AD38</f>
        <v>42464</v>
      </c>
      <c r="X53" s="10">
        <f>'[1]V, inciso o) (OP)'!AE38</f>
        <v>42545</v>
      </c>
      <c r="Y53" s="7" t="s">
        <v>295</v>
      </c>
      <c r="Z53" s="7" t="s">
        <v>296</v>
      </c>
      <c r="AA53" s="7" t="s">
        <v>297</v>
      </c>
      <c r="AB53" s="21" t="s">
        <v>2552</v>
      </c>
      <c r="AC53" s="6" t="s">
        <v>2438</v>
      </c>
      <c r="AD53" s="6"/>
    </row>
    <row r="54" spans="1:30" ht="69.95" customHeight="1">
      <c r="A54" s="34">
        <v>41</v>
      </c>
      <c r="B54" s="7">
        <v>2016</v>
      </c>
      <c r="C54" s="6" t="s">
        <v>62</v>
      </c>
      <c r="D54" s="6" t="str">
        <f>'[1]V, inciso o) (OP)'!C39</f>
        <v>DOPI-MUN-RP-AP-AD-041-16</v>
      </c>
      <c r="E54" s="10">
        <f>'[1]V, inciso o) (OP)'!V39</f>
        <v>42482</v>
      </c>
      <c r="F54" s="32" t="str">
        <f>'[1]V, inciso o) (OP)'!AA39</f>
        <v>Construcción de línea de drenaje sanitario y línea de agua potable en las calles andador Tequila de Tequila a Lagos de Moreno, Prolongación Zapopan de Jalisco a Prolongación Jalisco y Jalisco de Prolongación Zapopan a Prolongación Jalisco, en la colonia Lomas del Refugio, municipio de Zapopan, Jalisco.</v>
      </c>
      <c r="G54" s="6" t="s">
        <v>63</v>
      </c>
      <c r="H54" s="39">
        <v>256955.42</v>
      </c>
      <c r="I54" s="6" t="s">
        <v>300</v>
      </c>
      <c r="J54" s="6" t="str">
        <f>'[1]V, inciso o) (OP)'!G39</f>
        <v>Jesús Alfredo</v>
      </c>
      <c r="K54" s="7" t="str">
        <f>'[1]V, inciso o) (OP)'!H39</f>
        <v>Vargas</v>
      </c>
      <c r="L54" s="7" t="str">
        <f>'[1]V, inciso o) (OP)'!I39</f>
        <v>Castellanos</v>
      </c>
      <c r="M54" s="6" t="s">
        <v>2956</v>
      </c>
      <c r="N54" s="7" t="str">
        <f>'[1]V, inciso o) (OP)'!K39</f>
        <v>TIN130227AS1</v>
      </c>
      <c r="O54" s="11">
        <f t="shared" si="1"/>
        <v>256955.42</v>
      </c>
      <c r="P54" s="11">
        <v>226398.83000000002</v>
      </c>
      <c r="Q54" s="7" t="s">
        <v>80</v>
      </c>
      <c r="R54" s="11">
        <f>O54/315</f>
        <v>815.73149206349206</v>
      </c>
      <c r="S54" s="7" t="s">
        <v>41</v>
      </c>
      <c r="T54" s="12">
        <v>1085</v>
      </c>
      <c r="U54" s="13" t="s">
        <v>42</v>
      </c>
      <c r="V54" s="7" t="s">
        <v>43</v>
      </c>
      <c r="W54" s="10">
        <f>'[1]V, inciso o) (OP)'!AD39</f>
        <v>42485</v>
      </c>
      <c r="X54" s="10">
        <f>'[1]V, inciso o) (OP)'!AE39</f>
        <v>42518</v>
      </c>
      <c r="Y54" s="7" t="s">
        <v>301</v>
      </c>
      <c r="Z54" s="7" t="s">
        <v>302</v>
      </c>
      <c r="AA54" s="7" t="s">
        <v>303</v>
      </c>
      <c r="AB54" s="21" t="s">
        <v>2553</v>
      </c>
      <c r="AC54" s="6" t="s">
        <v>2438</v>
      </c>
      <c r="AD54" s="6"/>
    </row>
    <row r="55" spans="1:30" ht="69.95" customHeight="1">
      <c r="A55" s="34">
        <v>42</v>
      </c>
      <c r="B55" s="7">
        <v>2016</v>
      </c>
      <c r="C55" s="6" t="s">
        <v>62</v>
      </c>
      <c r="D55" s="6" t="str">
        <f>'[1]V, inciso o) (OP)'!C40</f>
        <v>DOPI-MUN-RP-IM-AD-042-16</v>
      </c>
      <c r="E55" s="10">
        <f>'[1]V, inciso o) (OP)'!V40</f>
        <v>42501</v>
      </c>
      <c r="F55" s="32" t="str">
        <f>'[1]V, inciso o) (OP)'!AA40</f>
        <v>Construcción de muro perimetral y rehabilitación de herrería en el CDI No. 2 "Pablo Casals", ubicado en la colonia Valle de Atemajac; suministro e instalación de malla sombra en patio central y rehabilitación de área exterior infantil, en el CDI No. 09, ubicado en la colonia Villa de Guadalupe; construcción de muro y malla perimetral en el CDC No. 20, ubicado en la colonia Arenales Tapatios; impermeabilización de azoteas en el CRI ubicado en Av. Laureles, colonia Unidad Fovissste; colocación de ladrillo de azotea e impermeabilización en el CEMAM, ubicado en la calle cerrada Santa Laura, colonia Santa Margarita Primera Sección, muncipio de Zapopan, Jalisco</v>
      </c>
      <c r="G55" s="6" t="s">
        <v>3308</v>
      </c>
      <c r="H55" s="39">
        <v>1546969.15</v>
      </c>
      <c r="I55" s="32" t="s">
        <v>304</v>
      </c>
      <c r="J55" s="6" t="str">
        <f>'[1]V, inciso o) (OP)'!G40</f>
        <v>José Antonio</v>
      </c>
      <c r="K55" s="7" t="str">
        <f>'[1]V, inciso o) (OP)'!H40</f>
        <v>Álvarez</v>
      </c>
      <c r="L55" s="7" t="str">
        <f>'[1]V, inciso o) (OP)'!I40</f>
        <v>Garcia</v>
      </c>
      <c r="M55" s="6" t="s">
        <v>2959</v>
      </c>
      <c r="N55" s="7" t="str">
        <f>'[1]V, inciso o) (OP)'!K40</f>
        <v>UMN160125869</v>
      </c>
      <c r="O55" s="11">
        <f t="shared" si="1"/>
        <v>1546969.15</v>
      </c>
      <c r="P55" s="11">
        <v>1546887.7200000002</v>
      </c>
      <c r="Q55" s="7" t="s">
        <v>305</v>
      </c>
      <c r="R55" s="11" t="s">
        <v>120</v>
      </c>
      <c r="S55" s="7" t="s">
        <v>41</v>
      </c>
      <c r="T55" s="12">
        <v>192531</v>
      </c>
      <c r="U55" s="13" t="s">
        <v>42</v>
      </c>
      <c r="V55" s="7" t="s">
        <v>43</v>
      </c>
      <c r="W55" s="10">
        <f>'[1]V, inciso o) (OP)'!AD40</f>
        <v>42502</v>
      </c>
      <c r="X55" s="10">
        <f>'[1]V, inciso o) (OP)'!AE40</f>
        <v>42582</v>
      </c>
      <c r="Y55" s="7" t="s">
        <v>306</v>
      </c>
      <c r="Z55" s="7" t="s">
        <v>307</v>
      </c>
      <c r="AA55" s="7" t="s">
        <v>61</v>
      </c>
      <c r="AB55" s="21" t="s">
        <v>3279</v>
      </c>
      <c r="AC55" s="21" t="s">
        <v>3297</v>
      </c>
      <c r="AD55" s="6"/>
    </row>
    <row r="56" spans="1:30" ht="69.95" customHeight="1">
      <c r="A56" s="34">
        <v>43</v>
      </c>
      <c r="B56" s="7">
        <v>2016</v>
      </c>
      <c r="C56" s="6" t="s">
        <v>62</v>
      </c>
      <c r="D56" s="6" t="str">
        <f>'[1]V, inciso o) (OP)'!C41</f>
        <v>DOPI-MUN-RP-PROY-AD-043-16</v>
      </c>
      <c r="E56" s="10">
        <f>'[1]V, inciso o) (OP)'!V41</f>
        <v>42503</v>
      </c>
      <c r="F56" s="6" t="str">
        <f>'[1]V, inciso o) (OP)'!AA41</f>
        <v>Proyecto ejecutivo para la construcción de la cruz verde ubicada en la colonia Villas de Guadalupe, municipio de Zapopan, Jalisco.</v>
      </c>
      <c r="G56" s="6" t="s">
        <v>63</v>
      </c>
      <c r="H56" s="39">
        <v>1495650.37</v>
      </c>
      <c r="I56" s="6" t="s">
        <v>308</v>
      </c>
      <c r="J56" s="6" t="str">
        <f>'[1]V, inciso o) (OP)'!G41</f>
        <v>Juan Francisco</v>
      </c>
      <c r="K56" s="7" t="str">
        <f>'[1]V, inciso o) (OP)'!H41</f>
        <v>Toscano</v>
      </c>
      <c r="L56" s="7" t="str">
        <f>'[1]V, inciso o) (OP)'!I41</f>
        <v>Lases</v>
      </c>
      <c r="M56" s="6" t="s">
        <v>2960</v>
      </c>
      <c r="N56" s="7" t="str">
        <f>'[1]V, inciso o) (OP)'!K41</f>
        <v>IDO100427QG2</v>
      </c>
      <c r="O56" s="11">
        <f t="shared" si="1"/>
        <v>1495650.37</v>
      </c>
      <c r="P56" s="11">
        <v>1175250.3600000001</v>
      </c>
      <c r="Q56" s="7" t="s">
        <v>120</v>
      </c>
      <c r="R56" s="11" t="s">
        <v>120</v>
      </c>
      <c r="S56" s="7" t="s">
        <v>121</v>
      </c>
      <c r="T56" s="12" t="s">
        <v>121</v>
      </c>
      <c r="U56" s="13" t="s">
        <v>42</v>
      </c>
      <c r="V56" s="7" t="s">
        <v>43</v>
      </c>
      <c r="W56" s="10">
        <f>'[1]V, inciso o) (OP)'!AD41</f>
        <v>42506</v>
      </c>
      <c r="X56" s="10">
        <f>'[1]V, inciso o) (OP)'!AE41</f>
        <v>42582</v>
      </c>
      <c r="Y56" s="7" t="s">
        <v>309</v>
      </c>
      <c r="Z56" s="7" t="s">
        <v>310</v>
      </c>
      <c r="AA56" s="7" t="s">
        <v>311</v>
      </c>
      <c r="AB56" s="21" t="s">
        <v>2569</v>
      </c>
      <c r="AC56" s="6" t="s">
        <v>2438</v>
      </c>
      <c r="AD56" s="6"/>
    </row>
    <row r="57" spans="1:30" ht="69.95" customHeight="1">
      <c r="A57" s="34">
        <v>44</v>
      </c>
      <c r="B57" s="7">
        <v>2016</v>
      </c>
      <c r="C57" s="6" t="s">
        <v>139</v>
      </c>
      <c r="D57" s="6" t="s">
        <v>312</v>
      </c>
      <c r="E57" s="10">
        <v>42580</v>
      </c>
      <c r="F57" s="6" t="str">
        <f>'[1]V, inciso p) (OP)'!AL23</f>
        <v>Construcción de muro mecánicamente estabilizado (obra complementaria) para conexión al retorno vial a Periférico Norte y Av Juan Palomar y Arias, municipio de Zapopan, Jalisco.</v>
      </c>
      <c r="G57" s="6" t="s">
        <v>63</v>
      </c>
      <c r="H57" s="39">
        <v>4256046.82</v>
      </c>
      <c r="I57" s="6" t="str">
        <f>'[1]V, inciso p) (OP)'!AS23</f>
        <v>Col. Parque Industrial Belenes</v>
      </c>
      <c r="J57" s="6" t="s">
        <v>313</v>
      </c>
      <c r="K57" s="7" t="s">
        <v>311</v>
      </c>
      <c r="L57" s="7" t="s">
        <v>130</v>
      </c>
      <c r="M57" s="6" t="s">
        <v>314</v>
      </c>
      <c r="N57" s="7" t="s">
        <v>315</v>
      </c>
      <c r="O57" s="11">
        <v>4256046.82</v>
      </c>
      <c r="P57" s="11">
        <v>4256046.5159999998</v>
      </c>
      <c r="Q57" s="7" t="s">
        <v>316</v>
      </c>
      <c r="R57" s="11">
        <f>O57/750</f>
        <v>5674.7290933333334</v>
      </c>
      <c r="S57" s="7" t="s">
        <v>41</v>
      </c>
      <c r="T57" s="12">
        <v>92837</v>
      </c>
      <c r="U57" s="13" t="s">
        <v>42</v>
      </c>
      <c r="V57" s="7" t="s">
        <v>43</v>
      </c>
      <c r="W57" s="10">
        <v>42583</v>
      </c>
      <c r="X57" s="10">
        <v>42627</v>
      </c>
      <c r="Y57" s="7" t="s">
        <v>317</v>
      </c>
      <c r="Z57" s="7" t="s">
        <v>191</v>
      </c>
      <c r="AA57" s="7" t="s">
        <v>192</v>
      </c>
      <c r="AB57" s="21" t="s">
        <v>2763</v>
      </c>
      <c r="AC57" s="6" t="s">
        <v>2438</v>
      </c>
      <c r="AD57" s="6"/>
    </row>
    <row r="58" spans="1:30" ht="69.95" customHeight="1">
      <c r="A58" s="34">
        <v>45</v>
      </c>
      <c r="B58" s="7">
        <v>2016</v>
      </c>
      <c r="C58" s="6" t="s">
        <v>139</v>
      </c>
      <c r="D58" s="6" t="s">
        <v>318</v>
      </c>
      <c r="E58" s="10">
        <v>42580</v>
      </c>
      <c r="F58" s="32" t="str">
        <f>'[1]V, inciso p) (OP)'!AL24</f>
        <v>Construcción de pavimento de concreto hidráulico, sustitución de líneas de agua potable y de drenaje sanitario, construcción de banquetas, guarniciones y alumbrado público, en el carril norte de la calle Puente el Palomar de la calle Campanario a calle Nardo, municipio de Zapopan, Jalisco.</v>
      </c>
      <c r="G58" s="6" t="s">
        <v>63</v>
      </c>
      <c r="H58" s="39">
        <v>4886861.9000000004</v>
      </c>
      <c r="I58" s="6" t="str">
        <f>'[1]V, inciso p) (OP)'!AS24</f>
        <v>Col. El Campanario</v>
      </c>
      <c r="J58" s="6" t="s">
        <v>319</v>
      </c>
      <c r="K58" s="7" t="s">
        <v>68</v>
      </c>
      <c r="L58" s="7" t="s">
        <v>138</v>
      </c>
      <c r="M58" s="6" t="s">
        <v>320</v>
      </c>
      <c r="N58" s="7" t="s">
        <v>321</v>
      </c>
      <c r="O58" s="11">
        <v>4886861.9000000004</v>
      </c>
      <c r="P58" s="11">
        <v>3618087.7108</v>
      </c>
      <c r="Q58" s="7" t="s">
        <v>322</v>
      </c>
      <c r="R58" s="11">
        <f>O58/2466</f>
        <v>1981.6958231954584</v>
      </c>
      <c r="S58" s="7" t="s">
        <v>41</v>
      </c>
      <c r="T58" s="12">
        <v>2159</v>
      </c>
      <c r="U58" s="13" t="s">
        <v>42</v>
      </c>
      <c r="V58" s="7" t="s">
        <v>43</v>
      </c>
      <c r="W58" s="10">
        <v>42583</v>
      </c>
      <c r="X58" s="10">
        <v>42627</v>
      </c>
      <c r="Y58" s="7" t="s">
        <v>323</v>
      </c>
      <c r="Z58" s="7" t="s">
        <v>231</v>
      </c>
      <c r="AA58" s="7" t="s">
        <v>143</v>
      </c>
      <c r="AB58" s="21" t="s">
        <v>2816</v>
      </c>
      <c r="AC58" s="6" t="s">
        <v>2438</v>
      </c>
      <c r="AD58" s="6"/>
    </row>
    <row r="59" spans="1:30" ht="69.95" customHeight="1">
      <c r="A59" s="34">
        <v>46</v>
      </c>
      <c r="B59" s="7">
        <v>2016</v>
      </c>
      <c r="C59" s="6" t="s">
        <v>139</v>
      </c>
      <c r="D59" s="6" t="s">
        <v>324</v>
      </c>
      <c r="E59" s="10">
        <v>42580</v>
      </c>
      <c r="F59" s="32" t="str">
        <f>'[1]V, inciso p) (OP)'!AL25</f>
        <v>Construcción de pavimento de concreto hidráulico, sustitución de líneas de agua potable, drenaje sanitario, construcción de banquetas, guarniciones y alumbrado público, en la calle Niños Héroes de Emiliano Zapata a Hidalgo y de Hidalgo de Niños Héroes a Ignacio Allende, en la localidad de Santa Lucia, municipio de Zapopan, Jalisco.</v>
      </c>
      <c r="G59" s="6" t="s">
        <v>63</v>
      </c>
      <c r="H59" s="39">
        <v>3920653.99</v>
      </c>
      <c r="I59" s="6" t="str">
        <f>'[1]V, inciso p) (OP)'!AS25</f>
        <v>Localidad Santa Lucía</v>
      </c>
      <c r="J59" s="6" t="s">
        <v>325</v>
      </c>
      <c r="K59" s="7" t="s">
        <v>326</v>
      </c>
      <c r="L59" s="7" t="s">
        <v>327</v>
      </c>
      <c r="M59" s="6" t="s">
        <v>328</v>
      </c>
      <c r="N59" s="7" t="s">
        <v>329</v>
      </c>
      <c r="O59" s="11">
        <v>3920653.99</v>
      </c>
      <c r="P59" s="11">
        <v>3452568.75</v>
      </c>
      <c r="Q59" s="7" t="s">
        <v>330</v>
      </c>
      <c r="R59" s="11">
        <f>O59/2014</f>
        <v>1946.7000943396229</v>
      </c>
      <c r="S59" s="7" t="s">
        <v>41</v>
      </c>
      <c r="T59" s="12">
        <v>1748</v>
      </c>
      <c r="U59" s="13" t="s">
        <v>42</v>
      </c>
      <c r="V59" s="7" t="s">
        <v>43</v>
      </c>
      <c r="W59" s="10">
        <v>42583</v>
      </c>
      <c r="X59" s="10">
        <v>42627</v>
      </c>
      <c r="Y59" s="7" t="s">
        <v>331</v>
      </c>
      <c r="Z59" s="7" t="s">
        <v>332</v>
      </c>
      <c r="AA59" s="7" t="s">
        <v>116</v>
      </c>
      <c r="AB59" s="21" t="s">
        <v>2764</v>
      </c>
      <c r="AC59" s="6" t="s">
        <v>2438</v>
      </c>
      <c r="AD59" s="6"/>
    </row>
    <row r="60" spans="1:30" ht="69.95" customHeight="1">
      <c r="A60" s="34">
        <v>47</v>
      </c>
      <c r="B60" s="7">
        <v>2016</v>
      </c>
      <c r="C60" s="6" t="s">
        <v>139</v>
      </c>
      <c r="D60" s="6" t="s">
        <v>333</v>
      </c>
      <c r="E60" s="10">
        <v>42580</v>
      </c>
      <c r="F60" s="6" t="str">
        <f>'[1]V, inciso p) (OP)'!AL26</f>
        <v>Construcción de la red de agua potable y de drenaje sanitario en la carretera La Venta del Astillero - Santa Lucia, en la colonia La Soledad, localidad de Nextipac, municipio de Zapopan, Jalisco</v>
      </c>
      <c r="G60" s="6" t="s">
        <v>63</v>
      </c>
      <c r="H60" s="39">
        <v>5701133.4699999997</v>
      </c>
      <c r="I60" s="6" t="str">
        <f>'[1]V, inciso p) (OP)'!AS26</f>
        <v>Localidad de Nextipac</v>
      </c>
      <c r="J60" s="6" t="s">
        <v>334</v>
      </c>
      <c r="K60" s="7" t="s">
        <v>335</v>
      </c>
      <c r="L60" s="7" t="s">
        <v>336</v>
      </c>
      <c r="M60" s="6" t="s">
        <v>337</v>
      </c>
      <c r="N60" s="7" t="s">
        <v>338</v>
      </c>
      <c r="O60" s="11">
        <v>5701133.4699999997</v>
      </c>
      <c r="P60" s="11">
        <v>4172976.31</v>
      </c>
      <c r="Q60" s="7" t="s">
        <v>339</v>
      </c>
      <c r="R60" s="11">
        <f>O60/2390</f>
        <v>2385.4114937238492</v>
      </c>
      <c r="S60" s="7" t="s">
        <v>41</v>
      </c>
      <c r="T60" s="12">
        <v>5663</v>
      </c>
      <c r="U60" s="13" t="s">
        <v>42</v>
      </c>
      <c r="V60" s="7" t="s">
        <v>43</v>
      </c>
      <c r="W60" s="10">
        <v>42583</v>
      </c>
      <c r="X60" s="10">
        <v>42642</v>
      </c>
      <c r="Y60" s="7" t="s">
        <v>331</v>
      </c>
      <c r="Z60" s="7" t="s">
        <v>332</v>
      </c>
      <c r="AA60" s="7" t="s">
        <v>116</v>
      </c>
      <c r="AB60" s="21" t="s">
        <v>1373</v>
      </c>
      <c r="AC60" s="6" t="s">
        <v>2438</v>
      </c>
      <c r="AD60" s="6"/>
    </row>
    <row r="61" spans="1:30" ht="69.95" customHeight="1">
      <c r="A61" s="34">
        <v>48</v>
      </c>
      <c r="B61" s="7">
        <v>2016</v>
      </c>
      <c r="C61" s="6" t="s">
        <v>139</v>
      </c>
      <c r="D61" s="6" t="s">
        <v>340</v>
      </c>
      <c r="E61" s="10">
        <v>42580</v>
      </c>
      <c r="F61" s="32" t="str">
        <f>'[1]V, inciso p) (OP)'!AL27</f>
        <v>Construcción de líneas de drenaje sanitario y de agua potable, subrasante y base hidráulica en la calle Cesario Rivera desde la carreta a Saltillo a la calle Jacinto González Peña, en la colonia Villas de Guadalupe, municipio de Zapopan, Jalisco.</v>
      </c>
      <c r="G61" s="6" t="s">
        <v>63</v>
      </c>
      <c r="H61" s="39">
        <v>2157478.2999999998</v>
      </c>
      <c r="I61" s="6" t="str">
        <f>'[1]V, inciso p) (OP)'!AS27</f>
        <v>Col. Villas de Guadalupe</v>
      </c>
      <c r="J61" s="6" t="s">
        <v>97</v>
      </c>
      <c r="K61" s="7" t="s">
        <v>169</v>
      </c>
      <c r="L61" s="7" t="s">
        <v>341</v>
      </c>
      <c r="M61" s="6" t="s">
        <v>342</v>
      </c>
      <c r="N61" s="7" t="s">
        <v>343</v>
      </c>
      <c r="O61" s="11">
        <v>2157478.2999999998</v>
      </c>
      <c r="P61" s="11">
        <v>2082937.62</v>
      </c>
      <c r="Q61" s="7" t="s">
        <v>344</v>
      </c>
      <c r="R61" s="11">
        <f>O61/808</f>
        <v>2670.1464108910891</v>
      </c>
      <c r="S61" s="7" t="s">
        <v>41</v>
      </c>
      <c r="T61" s="12">
        <v>2762</v>
      </c>
      <c r="U61" s="13" t="s">
        <v>42</v>
      </c>
      <c r="V61" s="7" t="s">
        <v>43</v>
      </c>
      <c r="W61" s="10">
        <v>42583</v>
      </c>
      <c r="X61" s="10">
        <v>42642</v>
      </c>
      <c r="Y61" s="7" t="s">
        <v>345</v>
      </c>
      <c r="Z61" s="7" t="s">
        <v>346</v>
      </c>
      <c r="AA61" s="7" t="s">
        <v>347</v>
      </c>
      <c r="AB61" s="21" t="s">
        <v>2765</v>
      </c>
      <c r="AC61" s="6" t="s">
        <v>2438</v>
      </c>
      <c r="AD61" s="6"/>
    </row>
    <row r="62" spans="1:30" ht="69.95" customHeight="1">
      <c r="A62" s="34">
        <v>49</v>
      </c>
      <c r="B62" s="7">
        <v>2016</v>
      </c>
      <c r="C62" s="6" t="s">
        <v>139</v>
      </c>
      <c r="D62" s="6" t="s">
        <v>348</v>
      </c>
      <c r="E62" s="10">
        <v>42580</v>
      </c>
      <c r="F62" s="32" t="str">
        <f>'[1]V, inciso p) (OP)'!AL28</f>
        <v>Construcción de líneas de drenaje sanitario y de agua potable, subrasante y base hidráulica en la calle Idolina Gaona entre Decima Oriente y Cuarta Oriente  en la colonia Jardines de Nuevo México, municipio de Zapopan, Jalisco.</v>
      </c>
      <c r="G62" s="6" t="s">
        <v>63</v>
      </c>
      <c r="H62" s="39">
        <v>3164998.73</v>
      </c>
      <c r="I62" s="6" t="str">
        <f>'[1]V, inciso p) (OP)'!AS28</f>
        <v>Col. Jardines de Nuevo México</v>
      </c>
      <c r="J62" s="6" t="s">
        <v>334</v>
      </c>
      <c r="K62" s="7" t="s">
        <v>349</v>
      </c>
      <c r="L62" s="7" t="s">
        <v>144</v>
      </c>
      <c r="M62" s="6" t="s">
        <v>350</v>
      </c>
      <c r="N62" s="7" t="s">
        <v>351</v>
      </c>
      <c r="O62" s="11">
        <v>3164998.73</v>
      </c>
      <c r="P62" s="11">
        <v>3104776.0199999996</v>
      </c>
      <c r="Q62" s="7" t="s">
        <v>352</v>
      </c>
      <c r="R62" s="11">
        <f>O62/561</f>
        <v>5641.7089661319069</v>
      </c>
      <c r="S62" s="7" t="s">
        <v>41</v>
      </c>
      <c r="T62" s="12">
        <v>4470</v>
      </c>
      <c r="U62" s="13" t="s">
        <v>42</v>
      </c>
      <c r="V62" s="7" t="s">
        <v>43</v>
      </c>
      <c r="W62" s="10">
        <v>42583</v>
      </c>
      <c r="X62" s="10">
        <v>42642</v>
      </c>
      <c r="Y62" s="7" t="s">
        <v>331</v>
      </c>
      <c r="Z62" s="7" t="s">
        <v>332</v>
      </c>
      <c r="AA62" s="7" t="s">
        <v>116</v>
      </c>
      <c r="AB62" s="21" t="s">
        <v>2766</v>
      </c>
      <c r="AC62" s="6" t="s">
        <v>2438</v>
      </c>
      <c r="AD62" s="6"/>
    </row>
    <row r="63" spans="1:30" ht="69.95" customHeight="1">
      <c r="A63" s="34">
        <v>50</v>
      </c>
      <c r="B63" s="7">
        <v>2016</v>
      </c>
      <c r="C63" s="6" t="s">
        <v>31</v>
      </c>
      <c r="D63" s="6" t="str">
        <f>'[1]V, inciso p) (OP)'!D29</f>
        <v>DOPI-MUN-PP-PAV-LP-050-2016</v>
      </c>
      <c r="E63" s="10">
        <f>'[1]V, inciso p) (OP)'!AD29</f>
        <v>42593</v>
      </c>
      <c r="F63" s="32" t="str">
        <f>'[1]V, inciso p) (OP)'!AL29</f>
        <v>Construcción de pavimento de concreto hidráulico MR-45, sustitución de líneas de agua potable y de alcantarillado, alumbrado público, construcción de guarniciones y banquetas, en la calle Jalisco de la calle Aldama a la calle San Francisco, en la localidad de Tesistán, municipio de Zapopan, Jalisco.</v>
      </c>
      <c r="G63" s="6" t="s">
        <v>63</v>
      </c>
      <c r="H63" s="39">
        <v>4426493.25</v>
      </c>
      <c r="I63" s="6" t="str">
        <f>'[1]V, inciso p) (OP)'!AS29</f>
        <v>Tesitán</v>
      </c>
      <c r="J63" s="6" t="str">
        <f>'[1]V, inciso p) (OP)'!T29</f>
        <v>Julio Eduardo</v>
      </c>
      <c r="K63" s="7" t="str">
        <f>'[1]V, inciso p) (OP)'!U29</f>
        <v>Lopez</v>
      </c>
      <c r="L63" s="7" t="str">
        <f>'[1]V, inciso p) (OP)'!V29</f>
        <v>Perez</v>
      </c>
      <c r="M63" s="6" t="s">
        <v>314</v>
      </c>
      <c r="N63" s="7" t="str">
        <f>'[1]V, inciso p) (OP)'!X29</f>
        <v>PEI020208RW0</v>
      </c>
      <c r="O63" s="11">
        <f t="shared" ref="O63:O94" si="2">H63</f>
        <v>4426493.25</v>
      </c>
      <c r="P63" s="11">
        <v>4426493.26</v>
      </c>
      <c r="Q63" s="7" t="s">
        <v>353</v>
      </c>
      <c r="R63" s="11">
        <f>O63/2010</f>
        <v>2202.2354477611939</v>
      </c>
      <c r="S63" s="7" t="s">
        <v>41</v>
      </c>
      <c r="T63" s="12">
        <v>60027</v>
      </c>
      <c r="U63" s="13" t="s">
        <v>42</v>
      </c>
      <c r="V63" s="7" t="s">
        <v>43</v>
      </c>
      <c r="W63" s="10">
        <f>'[1]V, inciso p) (OP)'!AM29</f>
        <v>42614</v>
      </c>
      <c r="X63" s="10">
        <f>'[1]V, inciso p) (OP)'!AN29</f>
        <v>42735</v>
      </c>
      <c r="Y63" s="7" t="s">
        <v>331</v>
      </c>
      <c r="Z63" s="7" t="s">
        <v>332</v>
      </c>
      <c r="AA63" s="7" t="s">
        <v>116</v>
      </c>
      <c r="AB63" s="21" t="s">
        <v>1409</v>
      </c>
      <c r="AC63" s="6" t="s">
        <v>2438</v>
      </c>
      <c r="AD63" s="6"/>
    </row>
    <row r="64" spans="1:30" ht="69.95" customHeight="1">
      <c r="A64" s="34">
        <v>51</v>
      </c>
      <c r="B64" s="7">
        <v>2016</v>
      </c>
      <c r="C64" s="6" t="s">
        <v>31</v>
      </c>
      <c r="D64" s="6" t="str">
        <f>'[1]V, inciso p) (OP)'!D30</f>
        <v>DOPI-MUN-PP-PAV-LP-051-2016</v>
      </c>
      <c r="E64" s="10">
        <f>'[1]V, inciso p) (OP)'!AD30</f>
        <v>42600</v>
      </c>
      <c r="F64" s="32" t="str">
        <f>'[1]V, inciso p) (OP)'!AL30</f>
        <v>Construcción de pavimento de concreto hidráulico MR-45, sustitución de líneas de agua potable y de alcantarillado, alumbrado público, construcción de guarniciones y banquetas, en la calle Hidalgo de la calle Jalisco a la calle Lucio Blanco, en la localidad de Tesistán, municipio de Zapopan, Jalisco.</v>
      </c>
      <c r="G64" s="6" t="s">
        <v>63</v>
      </c>
      <c r="H64" s="39">
        <v>8579575.5199999996</v>
      </c>
      <c r="I64" s="6" t="str">
        <f>'[1]V, inciso p) (OP)'!AS30</f>
        <v>Tesitán</v>
      </c>
      <c r="J64" s="6" t="str">
        <f>'[1]V, inciso p) (OP)'!T30</f>
        <v xml:space="preserve">Cesar Agustin </v>
      </c>
      <c r="K64" s="7" t="str">
        <f>'[1]V, inciso p) (OP)'!U30</f>
        <v>Salgado</v>
      </c>
      <c r="L64" s="7" t="str">
        <f>'[1]V, inciso p) (OP)'!V30</f>
        <v>Santiago</v>
      </c>
      <c r="M64" s="6" t="s">
        <v>2961</v>
      </c>
      <c r="N64" s="7" t="str">
        <f>'[1]V, inciso p) (OP)'!X30</f>
        <v>FRA070416K99</v>
      </c>
      <c r="O64" s="11">
        <f t="shared" si="2"/>
        <v>8579575.5199999996</v>
      </c>
      <c r="P64" s="11">
        <v>7671137.2599999998</v>
      </c>
      <c r="Q64" s="7" t="s">
        <v>354</v>
      </c>
      <c r="R64" s="11">
        <f>O64/4400</f>
        <v>1949.9035272727272</v>
      </c>
      <c r="S64" s="7" t="s">
        <v>41</v>
      </c>
      <c r="T64" s="12">
        <v>60027</v>
      </c>
      <c r="U64" s="13" t="s">
        <v>42</v>
      </c>
      <c r="V64" s="7" t="s">
        <v>43</v>
      </c>
      <c r="W64" s="10">
        <f>'[1]V, inciso p) (OP)'!AM30</f>
        <v>42614</v>
      </c>
      <c r="X64" s="10">
        <f>'[1]V, inciso p) (OP)'!AN30</f>
        <v>42735</v>
      </c>
      <c r="Y64" s="7" t="s">
        <v>331</v>
      </c>
      <c r="Z64" s="7" t="s">
        <v>332</v>
      </c>
      <c r="AA64" s="7" t="s">
        <v>116</v>
      </c>
      <c r="AB64" s="21" t="s">
        <v>2767</v>
      </c>
      <c r="AC64" s="6" t="s">
        <v>2438</v>
      </c>
      <c r="AD64" s="6"/>
    </row>
    <row r="65" spans="1:30" ht="69.95" customHeight="1">
      <c r="A65" s="34">
        <v>52</v>
      </c>
      <c r="B65" s="7">
        <v>2016</v>
      </c>
      <c r="C65" s="6" t="s">
        <v>31</v>
      </c>
      <c r="D65" s="6" t="str">
        <f>'[1]V, inciso p) (OP)'!D31</f>
        <v>DOPI-MUN-PP-PAV-LP-052-2016</v>
      </c>
      <c r="E65" s="10">
        <f>'[1]V, inciso p) (OP)'!AD31</f>
        <v>42601</v>
      </c>
      <c r="F65" s="32" t="str">
        <f>'[1]V, inciso p) (OP)'!AL31</f>
        <v>Construcción de pavimento de concreto hidráulico MR-45, sustitución de líneas de agua potable y de alcantarillado, alumbrado público, construcción de guarniciones y banquetas, en la calle San Francisco de la calle Jalisco a la calle Independencia, en la localidad de Tesistán, municipio de Zapopan, Jalisco.</v>
      </c>
      <c r="G65" s="6" t="s">
        <v>63</v>
      </c>
      <c r="H65" s="39">
        <v>4875141.67</v>
      </c>
      <c r="I65" s="6" t="str">
        <f>'[1]V, inciso p) (OP)'!AS31</f>
        <v>Tesitán</v>
      </c>
      <c r="J65" s="6" t="str">
        <f>'[1]V, inciso p) (OP)'!T31</f>
        <v>Jose Antonio</v>
      </c>
      <c r="K65" s="7" t="str">
        <f>'[1]V, inciso p) (OP)'!U31</f>
        <v>Alvarez</v>
      </c>
      <c r="L65" s="7" t="str">
        <f>'[1]V, inciso p) (OP)'!V31</f>
        <v>Zuloaga</v>
      </c>
      <c r="M65" s="6" t="s">
        <v>2962</v>
      </c>
      <c r="N65" s="7" t="str">
        <f>'[1]V, inciso p) (OP)'!X31</f>
        <v>GDA150928286</v>
      </c>
      <c r="O65" s="11">
        <f t="shared" si="2"/>
        <v>4875141.67</v>
      </c>
      <c r="P65" s="11">
        <v>4076634.9400000004</v>
      </c>
      <c r="Q65" s="7" t="s">
        <v>355</v>
      </c>
      <c r="R65" s="11">
        <f>O65/3090</f>
        <v>1577.7157508090615</v>
      </c>
      <c r="S65" s="7" t="s">
        <v>41</v>
      </c>
      <c r="T65" s="12">
        <v>60027</v>
      </c>
      <c r="U65" s="13" t="s">
        <v>42</v>
      </c>
      <c r="V65" s="7" t="s">
        <v>43</v>
      </c>
      <c r="W65" s="10">
        <f>'[1]V, inciso p) (OP)'!AM31</f>
        <v>42614</v>
      </c>
      <c r="X65" s="10">
        <f>'[1]V, inciso p) (OP)'!AN31</f>
        <v>42735</v>
      </c>
      <c r="Y65" s="7" t="s">
        <v>331</v>
      </c>
      <c r="Z65" s="7" t="s">
        <v>332</v>
      </c>
      <c r="AA65" s="7" t="s">
        <v>116</v>
      </c>
      <c r="AB65" s="21" t="s">
        <v>2768</v>
      </c>
      <c r="AC65" s="6" t="s">
        <v>2438</v>
      </c>
      <c r="AD65" s="6"/>
    </row>
    <row r="66" spans="1:30" ht="69.95" customHeight="1">
      <c r="A66" s="34">
        <v>53</v>
      </c>
      <c r="B66" s="7">
        <v>2016</v>
      </c>
      <c r="C66" s="6" t="s">
        <v>31</v>
      </c>
      <c r="D66" s="6" t="str">
        <f>'[1]V, inciso p) (OP)'!D32</f>
        <v>DOPI-MUN-PP-PAV-LP-053-2016</v>
      </c>
      <c r="E66" s="10">
        <f>'[1]V, inciso p) (OP)'!AD32</f>
        <v>42604</v>
      </c>
      <c r="F66" s="32" t="str">
        <f>'[1]V, inciso p) (OP)'!AL32</f>
        <v>Construcción de pavimento de concreto hidráulico MR-45, sustitución de líneas de agua potable y de alcantarillado, alumbrado público, construcción de guarniciones y banquetas, en la calle J. García Praga de la calle Jalisco a la calle Ramón Corona, en la localidad de Tesistán, municipio de Zapopan, Jalisco.</v>
      </c>
      <c r="G66" s="6" t="s">
        <v>63</v>
      </c>
      <c r="H66" s="39">
        <v>999852.22</v>
      </c>
      <c r="I66" s="6" t="str">
        <f>'[1]V, inciso p) (OP)'!AS32</f>
        <v>Tesitán</v>
      </c>
      <c r="J66" s="6" t="str">
        <f>'[1]V, inciso p) (OP)'!T32</f>
        <v>Guadalupe Alejandrina</v>
      </c>
      <c r="K66" s="7" t="str">
        <f>'[1]V, inciso p) (OP)'!U32</f>
        <v>Maldonado</v>
      </c>
      <c r="L66" s="7" t="str">
        <f>'[1]V, inciso p) (OP)'!V32</f>
        <v>Lara</v>
      </c>
      <c r="M66" s="6" t="s">
        <v>2963</v>
      </c>
      <c r="N66" s="7" t="str">
        <f>'[1]V, inciso p) (OP)'!X32</f>
        <v>LAE1306263B5</v>
      </c>
      <c r="O66" s="11">
        <f t="shared" si="2"/>
        <v>999852.22</v>
      </c>
      <c r="P66" s="11">
        <v>999852.23</v>
      </c>
      <c r="Q66" s="7" t="s">
        <v>356</v>
      </c>
      <c r="R66" s="11">
        <f>O66/510</f>
        <v>1960.4945490196078</v>
      </c>
      <c r="S66" s="7" t="s">
        <v>41</v>
      </c>
      <c r="T66" s="12">
        <v>60027</v>
      </c>
      <c r="U66" s="13" t="s">
        <v>42</v>
      </c>
      <c r="V66" s="7" t="s">
        <v>43</v>
      </c>
      <c r="W66" s="10">
        <f>'[1]V, inciso p) (OP)'!AM32</f>
        <v>42614</v>
      </c>
      <c r="X66" s="10">
        <f>'[1]V, inciso p) (OP)'!AN32</f>
        <v>42705</v>
      </c>
      <c r="Y66" s="7" t="s">
        <v>331</v>
      </c>
      <c r="Z66" s="7" t="s">
        <v>332</v>
      </c>
      <c r="AA66" s="7" t="s">
        <v>116</v>
      </c>
      <c r="AB66" s="21" t="s">
        <v>1493</v>
      </c>
      <c r="AC66" s="6" t="s">
        <v>2438</v>
      </c>
      <c r="AD66" s="6"/>
    </row>
    <row r="67" spans="1:30" ht="69.95" customHeight="1">
      <c r="A67" s="34">
        <v>54</v>
      </c>
      <c r="B67" s="7">
        <v>2016</v>
      </c>
      <c r="C67" s="6" t="s">
        <v>31</v>
      </c>
      <c r="D67" s="6" t="str">
        <f>'[1]V, inciso p) (OP)'!D33</f>
        <v>DOPI-MUN-PP-PAV-LP-054-2016</v>
      </c>
      <c r="E67" s="10">
        <f>'[1]V, inciso p) (OP)'!AD33</f>
        <v>42605</v>
      </c>
      <c r="F67" s="32" t="str">
        <f>'[1]V, inciso p) (OP)'!AL33</f>
        <v>Construcción de pavimento de concreto hidráulico MR-45, sustitución de líneas de agua potable y de alcantarillado, alumbrado público, construcción de guarniciones y banquetas, en la calle Ramón Corona de la calle Hidalgo a la calle Puebla - 5 de Mayo, en la localidad de Tesistán, municipio de Zapopan, Jalisco.</v>
      </c>
      <c r="G67" s="6" t="s">
        <v>63</v>
      </c>
      <c r="H67" s="39">
        <v>1223679.9099999999</v>
      </c>
      <c r="I67" s="6" t="str">
        <f>'[1]V, inciso p) (OP)'!AS33</f>
        <v>Tesitán</v>
      </c>
      <c r="J67" s="6" t="str">
        <f>'[1]V, inciso p) (OP)'!T33</f>
        <v>Clarissa Gabriela</v>
      </c>
      <c r="K67" s="7" t="str">
        <f>'[1]V, inciso p) (OP)'!U33</f>
        <v>Valdez</v>
      </c>
      <c r="L67" s="7" t="str">
        <f>'[1]V, inciso p) (OP)'!V33</f>
        <v>Manjarrez</v>
      </c>
      <c r="M67" s="6" t="s">
        <v>2964</v>
      </c>
      <c r="N67" s="7" t="str">
        <f>'[1]V, inciso p) (OP)'!X33</f>
        <v>TGE101215JI6</v>
      </c>
      <c r="O67" s="11">
        <f t="shared" si="2"/>
        <v>1223679.9099999999</v>
      </c>
      <c r="P67" s="11">
        <v>1162470.52</v>
      </c>
      <c r="Q67" s="7" t="s">
        <v>356</v>
      </c>
      <c r="R67" s="11">
        <f>O67/510</f>
        <v>2399.3723725490195</v>
      </c>
      <c r="S67" s="7" t="s">
        <v>41</v>
      </c>
      <c r="T67" s="12">
        <v>60027</v>
      </c>
      <c r="U67" s="13" t="s">
        <v>42</v>
      </c>
      <c r="V67" s="7" t="s">
        <v>43</v>
      </c>
      <c r="W67" s="10">
        <f>'[1]V, inciso p) (OP)'!AM33</f>
        <v>42614</v>
      </c>
      <c r="X67" s="10">
        <f>'[1]V, inciso p) (OP)'!AN33</f>
        <v>42705</v>
      </c>
      <c r="Y67" s="7" t="s">
        <v>331</v>
      </c>
      <c r="Z67" s="7" t="s">
        <v>332</v>
      </c>
      <c r="AA67" s="7" t="s">
        <v>116</v>
      </c>
      <c r="AB67" s="21" t="s">
        <v>2769</v>
      </c>
      <c r="AC67" s="6" t="s">
        <v>2438</v>
      </c>
      <c r="AD67" s="6"/>
    </row>
    <row r="68" spans="1:30" ht="69.95" customHeight="1">
      <c r="A68" s="34">
        <v>55</v>
      </c>
      <c r="B68" s="7">
        <v>2016</v>
      </c>
      <c r="C68" s="6" t="s">
        <v>31</v>
      </c>
      <c r="D68" s="6" t="str">
        <f>'[1]V, inciso p) (OP)'!D34</f>
        <v>DOPI-MUN-PP-PAV-LP-055-2016</v>
      </c>
      <c r="E68" s="10">
        <f>'[1]V, inciso p) (OP)'!AD34</f>
        <v>42605</v>
      </c>
      <c r="F68" s="32" t="str">
        <f>'[1]V, inciso p) (OP)'!AL34</f>
        <v>Construcción de pavimento de concreto hidráulico MR-45, sustitución de líneas de agua potable y de alcantarillado, alumbrado público, construcción de guarniciones y banquetas, en la calle 5 Mayo - Puebla de la calle Ramón Corona a la calle Jalisco, en la localidad de Tesistán, municipio de Zapopan, Jalisco.</v>
      </c>
      <c r="G68" s="6" t="s">
        <v>63</v>
      </c>
      <c r="H68" s="39">
        <v>1229696.57</v>
      </c>
      <c r="I68" s="6" t="str">
        <f>'[1]V, inciso p) (OP)'!AS34</f>
        <v>Tesitán</v>
      </c>
      <c r="J68" s="6" t="str">
        <f>'[1]V, inciso p) (OP)'!T34</f>
        <v>Raul</v>
      </c>
      <c r="K68" s="7" t="str">
        <f>'[1]V, inciso p) (OP)'!U34</f>
        <v xml:space="preserve">Ortega </v>
      </c>
      <c r="L68" s="7" t="str">
        <f>'[1]V, inciso p) (OP)'!V34</f>
        <v>Jara</v>
      </c>
      <c r="M68" s="6" t="s">
        <v>2965</v>
      </c>
      <c r="N68" s="7" t="str">
        <f>'[1]V, inciso p) (OP)'!X34</f>
        <v>CAN030528ME0</v>
      </c>
      <c r="O68" s="11">
        <f t="shared" si="2"/>
        <v>1229696.57</v>
      </c>
      <c r="P68" s="11">
        <v>1209411.92</v>
      </c>
      <c r="Q68" s="7" t="s">
        <v>356</v>
      </c>
      <c r="R68" s="11">
        <f>O68/510</f>
        <v>2411.1697450980391</v>
      </c>
      <c r="S68" s="7" t="s">
        <v>41</v>
      </c>
      <c r="T68" s="12">
        <v>60027</v>
      </c>
      <c r="U68" s="13" t="s">
        <v>42</v>
      </c>
      <c r="V68" s="7" t="s">
        <v>43</v>
      </c>
      <c r="W68" s="10">
        <f>'[1]V, inciso p) (OP)'!AM34</f>
        <v>42614</v>
      </c>
      <c r="X68" s="10">
        <f>'[1]V, inciso p) (OP)'!AN34</f>
        <v>42705</v>
      </c>
      <c r="Y68" s="7" t="s">
        <v>331</v>
      </c>
      <c r="Z68" s="7" t="s">
        <v>332</v>
      </c>
      <c r="AA68" s="7" t="s">
        <v>116</v>
      </c>
      <c r="AB68" s="21" t="s">
        <v>2770</v>
      </c>
      <c r="AC68" s="6" t="s">
        <v>2438</v>
      </c>
      <c r="AD68" s="6"/>
    </row>
    <row r="69" spans="1:30" ht="69.95" customHeight="1">
      <c r="A69" s="34">
        <v>56</v>
      </c>
      <c r="B69" s="7">
        <v>2016</v>
      </c>
      <c r="C69" s="6" t="s">
        <v>31</v>
      </c>
      <c r="D69" s="6" t="str">
        <f>'[1]V, inciso p) (OP)'!D35</f>
        <v>DOPI-MUN-PP-PAV-LP-056-2016</v>
      </c>
      <c r="E69" s="10">
        <f>'[1]V, inciso p) (OP)'!AD35</f>
        <v>42591</v>
      </c>
      <c r="F69" s="32" t="str">
        <f>'[1]V, inciso p) (OP)'!AL35</f>
        <v>Construcción de pavimento de concreto hidráulico MR-45, sustitución de líneas de agua potable y de alcantarillado, alumbrado público, construcción de guarniciones y banquetas, en la calle Mercurio de la Prolongación Guadalupe a la calle Pirita, en la colonia Arenales Tapatios, municipio de Zapopan, Jalisco.</v>
      </c>
      <c r="G69" s="6" t="s">
        <v>63</v>
      </c>
      <c r="H69" s="39">
        <v>5518122.6399999997</v>
      </c>
      <c r="I69" s="6" t="str">
        <f>'[1]V, inciso p) (OP)'!AS35</f>
        <v>Colonia Arenales Tapatios</v>
      </c>
      <c r="J69" s="6" t="str">
        <f>'[1]V, inciso p) (OP)'!T35</f>
        <v>Carlos Ignacio</v>
      </c>
      <c r="K69" s="7" t="str">
        <f>'[1]V, inciso p) (OP)'!U35</f>
        <v>Curiel</v>
      </c>
      <c r="L69" s="7" t="str">
        <f>'[1]V, inciso p) (OP)'!V35</f>
        <v>Dueñas</v>
      </c>
      <c r="M69" s="6" t="s">
        <v>2966</v>
      </c>
      <c r="N69" s="7" t="str">
        <f>'[1]V, inciso p) (OP)'!X35</f>
        <v>CCE130723IR7</v>
      </c>
      <c r="O69" s="11">
        <f t="shared" si="2"/>
        <v>5518122.6399999997</v>
      </c>
      <c r="P69" s="11">
        <v>4234369.84</v>
      </c>
      <c r="Q69" s="7" t="s">
        <v>357</v>
      </c>
      <c r="R69" s="11">
        <f>O69/3045</f>
        <v>1812.1913431855501</v>
      </c>
      <c r="S69" s="7" t="s">
        <v>41</v>
      </c>
      <c r="T69" s="12">
        <v>6432</v>
      </c>
      <c r="U69" s="13" t="s">
        <v>42</v>
      </c>
      <c r="V69" s="7" t="s">
        <v>43</v>
      </c>
      <c r="W69" s="10">
        <f>'[1]V, inciso p) (OP)'!AM35</f>
        <v>42592</v>
      </c>
      <c r="X69" s="10">
        <f>'[1]V, inciso p) (OP)'!AN35</f>
        <v>42713</v>
      </c>
      <c r="Y69" s="7" t="s">
        <v>358</v>
      </c>
      <c r="Z69" s="7" t="s">
        <v>231</v>
      </c>
      <c r="AA69" s="7" t="s">
        <v>143</v>
      </c>
      <c r="AB69" s="21" t="s">
        <v>2817</v>
      </c>
      <c r="AC69" s="6" t="s">
        <v>2438</v>
      </c>
      <c r="AD69" s="6"/>
    </row>
    <row r="70" spans="1:30" ht="69.95" customHeight="1">
      <c r="A70" s="34">
        <v>57</v>
      </c>
      <c r="B70" s="7">
        <v>2016</v>
      </c>
      <c r="C70" s="6" t="s">
        <v>31</v>
      </c>
      <c r="D70" s="6" t="str">
        <f>'[1]V, inciso p) (OP)'!D36</f>
        <v>DOPI-MUN-PP-PAV-LP-057-2016</v>
      </c>
      <c r="E70" s="10">
        <f>'[1]V, inciso p) (OP)'!AD36</f>
        <v>42591</v>
      </c>
      <c r="F70" s="32" t="str">
        <f>'[1]V, inciso p) (OP)'!AL36</f>
        <v>Construcción de pavimento de concreto hidráulico MR-45, sustitución de líneas de agua potable y de alcantarillado, alumbrado público, construcción de guarniciones y banquetas, en la calle Mercurio de la calle Pirita a la calle Hierro, en la colonia Arenales Tapatios, municipio de Zapopan, Jalisco.</v>
      </c>
      <c r="G70" s="6" t="s">
        <v>63</v>
      </c>
      <c r="H70" s="39">
        <v>5312056.17</v>
      </c>
      <c r="I70" s="6" t="str">
        <f>'[1]V, inciso p) (OP)'!AS36</f>
        <v>Colonia Arenales Tapatios</v>
      </c>
      <c r="J70" s="6" t="str">
        <f>'[1]V, inciso p) (OP)'!T36</f>
        <v>Sergio Cesar</v>
      </c>
      <c r="K70" s="7" t="str">
        <f>'[1]V, inciso p) (OP)'!U36</f>
        <v>Diaz</v>
      </c>
      <c r="L70" s="7" t="str">
        <f>'[1]V, inciso p) (OP)'!V36</f>
        <v>Quiroz</v>
      </c>
      <c r="M70" s="6" t="s">
        <v>2967</v>
      </c>
      <c r="N70" s="7" t="str">
        <f>'[1]V, inciso p) (OP)'!X36</f>
        <v>TRA750528286</v>
      </c>
      <c r="O70" s="11">
        <f t="shared" si="2"/>
        <v>5312056.17</v>
      </c>
      <c r="P70" s="11">
        <v>5195088.28</v>
      </c>
      <c r="Q70" s="7" t="s">
        <v>357</v>
      </c>
      <c r="R70" s="11">
        <f>O70/3045</f>
        <v>1744.5176256157636</v>
      </c>
      <c r="S70" s="7" t="s">
        <v>41</v>
      </c>
      <c r="T70" s="12">
        <v>6432</v>
      </c>
      <c r="U70" s="13" t="s">
        <v>42</v>
      </c>
      <c r="V70" s="7" t="s">
        <v>43</v>
      </c>
      <c r="W70" s="10">
        <f>'[1]V, inciso p) (OP)'!AM36</f>
        <v>42592</v>
      </c>
      <c r="X70" s="10">
        <f>'[1]V, inciso p) (OP)'!AN36</f>
        <v>42713</v>
      </c>
      <c r="Y70" s="7" t="s">
        <v>358</v>
      </c>
      <c r="Z70" s="7" t="s">
        <v>231</v>
      </c>
      <c r="AA70" s="7" t="s">
        <v>143</v>
      </c>
      <c r="AB70" s="21" t="s">
        <v>2771</v>
      </c>
      <c r="AC70" s="6" t="s">
        <v>2438</v>
      </c>
      <c r="AD70" s="6"/>
    </row>
    <row r="71" spans="1:30" ht="69.95" customHeight="1">
      <c r="A71" s="34">
        <v>58</v>
      </c>
      <c r="B71" s="7">
        <v>2016</v>
      </c>
      <c r="C71" s="6" t="s">
        <v>31</v>
      </c>
      <c r="D71" s="6" t="str">
        <f>'[1]V, inciso p) (OP)'!D37</f>
        <v>DOPI-MUN-PP-PAV-LP-058-2016</v>
      </c>
      <c r="E71" s="10">
        <f>'[1]V, inciso p) (OP)'!AD37</f>
        <v>42591</v>
      </c>
      <c r="F71" s="32" t="str">
        <f>'[1]V, inciso p) (OP)'!AL37</f>
        <v>Reencarpetamiento de la vialidad, desbastado de la carpeta existente, nivelación de pozos de visita, cajas de válvulas, rejillas pluviales, bocas de tormenta y elementos estructurales que sobresalen de la rasante de la vialidad, calafateos, señaletica horizontal, construcción de banquetas, guarniciones, alumbrado público, en Calzada Federalistas - Del Valle de la Avenida Federalistas a camino viejo a Tesistán, municipio de Zapopan, Jalisco.</v>
      </c>
      <c r="G71" s="6" t="s">
        <v>63</v>
      </c>
      <c r="H71" s="39">
        <v>7853005.75</v>
      </c>
      <c r="I71" s="6" t="str">
        <f>'[1]V, inciso p) (OP)'!AS37</f>
        <v>Tesitán</v>
      </c>
      <c r="J71" s="6" t="str">
        <f>'[1]V, inciso p) (OP)'!T37</f>
        <v>Enrique Christian</v>
      </c>
      <c r="K71" s="7" t="str">
        <f>'[1]V, inciso p) (OP)'!U37</f>
        <v>Anshiro Minakata</v>
      </c>
      <c r="L71" s="7" t="str">
        <f>'[1]V, inciso p) (OP)'!V37</f>
        <v>Morentin</v>
      </c>
      <c r="M71" s="6" t="s">
        <v>2968</v>
      </c>
      <c r="N71" s="7" t="str">
        <f>'[1]V, inciso p) (OP)'!X37</f>
        <v>CMI110222AA0</v>
      </c>
      <c r="O71" s="11">
        <f t="shared" si="2"/>
        <v>7853005.75</v>
      </c>
      <c r="P71" s="11">
        <v>7853005.3799999999</v>
      </c>
      <c r="Q71" s="7" t="s">
        <v>359</v>
      </c>
      <c r="R71" s="11">
        <f>O71/13005</f>
        <v>603.84511726259132</v>
      </c>
      <c r="S71" s="7" t="s">
        <v>41</v>
      </c>
      <c r="T71" s="12">
        <v>21089</v>
      </c>
      <c r="U71" s="13" t="s">
        <v>42</v>
      </c>
      <c r="V71" s="7" t="s">
        <v>43</v>
      </c>
      <c r="W71" s="10">
        <f>'[1]V, inciso p) (OP)'!AM37</f>
        <v>42592</v>
      </c>
      <c r="X71" s="10">
        <f>'[1]V, inciso p) (OP)'!AN37</f>
        <v>42683</v>
      </c>
      <c r="Y71" s="7" t="s">
        <v>360</v>
      </c>
      <c r="Z71" s="7" t="s">
        <v>361</v>
      </c>
      <c r="AA71" s="7" t="s">
        <v>362</v>
      </c>
      <c r="AB71" s="21" t="s">
        <v>2772</v>
      </c>
      <c r="AC71" s="6" t="s">
        <v>2438</v>
      </c>
      <c r="AD71" s="6"/>
    </row>
    <row r="72" spans="1:30" ht="69.95" customHeight="1">
      <c r="A72" s="34">
        <v>59</v>
      </c>
      <c r="B72" s="7">
        <v>2016</v>
      </c>
      <c r="C72" s="6" t="s">
        <v>31</v>
      </c>
      <c r="D72" s="6" t="str">
        <f>'[1]V, inciso p) (OP)'!D38</f>
        <v>DOPI-MUN-PP-PAV-LP-059-2016</v>
      </c>
      <c r="E72" s="10">
        <f>'[1]V, inciso p) (OP)'!AD38</f>
        <v>42591</v>
      </c>
      <c r="F72" s="32" t="str">
        <f>'[1]V, inciso p) (OP)'!AL38</f>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Valle de Atemajac de la Avenida Central (Federalistas) a Prolongación Acueducto, municipio de Zapopan, Jalisco.</v>
      </c>
      <c r="G72" s="6" t="s">
        <v>63</v>
      </c>
      <c r="H72" s="39">
        <v>6564336.8600000003</v>
      </c>
      <c r="I72" s="6" t="str">
        <f>'[1]V, inciso p) (OP)'!AS38</f>
        <v>Colonia Valle de Atemajac</v>
      </c>
      <c r="J72" s="6" t="str">
        <f>'[1]V, inciso p) (OP)'!T38</f>
        <v>Rodrigo</v>
      </c>
      <c r="K72" s="7" t="str">
        <f>'[1]V, inciso p) (OP)'!U38</f>
        <v>Ramos</v>
      </c>
      <c r="L72" s="7" t="str">
        <f>'[1]V, inciso p) (OP)'!V38</f>
        <v>Garibi</v>
      </c>
      <c r="M72" s="6" t="s">
        <v>262</v>
      </c>
      <c r="N72" s="7" t="str">
        <f>'[1]V, inciso p) (OP)'!X38</f>
        <v>CMA070307RU6</v>
      </c>
      <c r="O72" s="11">
        <f t="shared" si="2"/>
        <v>6564336.8600000003</v>
      </c>
      <c r="P72" s="11">
        <v>2871543.81</v>
      </c>
      <c r="Q72" s="7" t="s">
        <v>363</v>
      </c>
      <c r="R72" s="11">
        <f>O72/8610</f>
        <v>762.40846225319399</v>
      </c>
      <c r="S72" s="7" t="s">
        <v>41</v>
      </c>
      <c r="T72" s="12">
        <v>21089</v>
      </c>
      <c r="U72" s="13" t="s">
        <v>42</v>
      </c>
      <c r="V72" s="7" t="s">
        <v>43</v>
      </c>
      <c r="W72" s="10">
        <f>'[1]V, inciso p) (OP)'!AM38</f>
        <v>42592</v>
      </c>
      <c r="X72" s="10">
        <f>'[1]V, inciso p) (OP)'!AN38</f>
        <v>42713</v>
      </c>
      <c r="Y72" s="7" t="s">
        <v>360</v>
      </c>
      <c r="Z72" s="7" t="s">
        <v>361</v>
      </c>
      <c r="AA72" s="7" t="s">
        <v>362</v>
      </c>
      <c r="AB72" s="21" t="s">
        <v>1374</v>
      </c>
      <c r="AC72" s="6" t="s">
        <v>2438</v>
      </c>
      <c r="AD72" s="6"/>
    </row>
    <row r="73" spans="1:30" ht="69.95" customHeight="1">
      <c r="A73" s="34">
        <v>60</v>
      </c>
      <c r="B73" s="7">
        <v>2016</v>
      </c>
      <c r="C73" s="6" t="s">
        <v>31</v>
      </c>
      <c r="D73" s="6" t="str">
        <f>'[1]V, inciso p) (OP)'!D39</f>
        <v>DOPI-MUN-PP-PAV-LP-060-2016</v>
      </c>
      <c r="E73" s="10">
        <f>'[1]V, inciso p) (OP)'!AD39</f>
        <v>42591</v>
      </c>
      <c r="F73" s="32" t="str">
        <f>'[1]V, inciso p) (OP)'!AL39</f>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Av. Del Valle a calle Jesús, municipio de Zapopan, Jalisco</v>
      </c>
      <c r="G73" s="6" t="s">
        <v>63</v>
      </c>
      <c r="H73" s="39">
        <v>7287576.9199999999</v>
      </c>
      <c r="I73" s="6" t="str">
        <f>'[1]V, inciso p) (OP)'!AS39</f>
        <v>Colonia Girasoles Acueducto</v>
      </c>
      <c r="J73" s="6" t="str">
        <f>'[1]V, inciso p) (OP)'!T39</f>
        <v>Ignacio Javier</v>
      </c>
      <c r="K73" s="7" t="str">
        <f>'[1]V, inciso p) (OP)'!U39</f>
        <v>Curiel</v>
      </c>
      <c r="L73" s="7" t="str">
        <f>'[1]V, inciso p) (OP)'!V39</f>
        <v>Dueñas</v>
      </c>
      <c r="M73" s="6" t="s">
        <v>2969</v>
      </c>
      <c r="N73" s="7" t="str">
        <f>'[1]V, inciso p) (OP)'!X39</f>
        <v>TCM100915HA1</v>
      </c>
      <c r="O73" s="11">
        <f t="shared" si="2"/>
        <v>7287576.9199999999</v>
      </c>
      <c r="P73" s="11">
        <v>4666007.2000000011</v>
      </c>
      <c r="Q73" s="7" t="s">
        <v>364</v>
      </c>
      <c r="R73" s="11">
        <f>O73/13445</f>
        <v>542.02877798438078</v>
      </c>
      <c r="S73" s="7" t="s">
        <v>41</v>
      </c>
      <c r="T73" s="12">
        <v>21089</v>
      </c>
      <c r="U73" s="13" t="s">
        <v>42</v>
      </c>
      <c r="V73" s="7" t="s">
        <v>43</v>
      </c>
      <c r="W73" s="10">
        <f>'[1]V, inciso p) (OP)'!AM39</f>
        <v>42592</v>
      </c>
      <c r="X73" s="10">
        <f>'[1]V, inciso p) (OP)'!AN39</f>
        <v>42683</v>
      </c>
      <c r="Y73" s="7" t="s">
        <v>360</v>
      </c>
      <c r="Z73" s="7" t="s">
        <v>361</v>
      </c>
      <c r="AA73" s="7" t="s">
        <v>362</v>
      </c>
      <c r="AB73" s="21" t="s">
        <v>1375</v>
      </c>
      <c r="AC73" s="6" t="s">
        <v>2438</v>
      </c>
      <c r="AD73" s="6"/>
    </row>
    <row r="74" spans="1:30" ht="69.95" customHeight="1">
      <c r="A74" s="34">
        <v>61</v>
      </c>
      <c r="B74" s="7">
        <v>2016</v>
      </c>
      <c r="C74" s="6" t="s">
        <v>31</v>
      </c>
      <c r="D74" s="6" t="str">
        <f>'[1]V, inciso p) (OP)'!D40</f>
        <v>DOPI-MUN-PP-PAV-LP-061-2016</v>
      </c>
      <c r="E74" s="10">
        <f>'[1]V, inciso p) (OP)'!AD40</f>
        <v>42591</v>
      </c>
      <c r="F74" s="32" t="str">
        <f>'[1]V, inciso p) (OP)'!AL40</f>
        <v>Reencarpetamiento de la vialidad, desbastado de la carpeta existente, nivelación de pozos de visita, cajas de válvulas, rejillas pluviales, bocas de tormenta y elementos estructurales que sobresalen de la rasante de la vialidad, calafateos, señalética horizontal, construcción de banquetas, guarniciones, alumbrado público, en Prolongación Acueducto de la calle Jesús a calle Santa Margarita, municipio de Zapopan, Jalisco</v>
      </c>
      <c r="G74" s="6" t="s">
        <v>63</v>
      </c>
      <c r="H74" s="39">
        <v>6426888.9699999997</v>
      </c>
      <c r="I74" s="6" t="str">
        <f>'[1]V, inciso p) (OP)'!AS40</f>
        <v>Colonia Las Bóvedas</v>
      </c>
      <c r="J74" s="6" t="str">
        <f>'[1]V, inciso p) (OP)'!T40</f>
        <v>Ignacio Javier</v>
      </c>
      <c r="K74" s="7" t="str">
        <f>'[1]V, inciso p) (OP)'!U40</f>
        <v>Curiel</v>
      </c>
      <c r="L74" s="7" t="str">
        <f>'[1]V, inciso p) (OP)'!V40</f>
        <v>Dueñas</v>
      </c>
      <c r="M74" s="6" t="s">
        <v>2969</v>
      </c>
      <c r="N74" s="7" t="str">
        <f>'[1]V, inciso p) (OP)'!X40</f>
        <v>TCM100915HA1</v>
      </c>
      <c r="O74" s="11">
        <f t="shared" si="2"/>
        <v>6426888.9699999997</v>
      </c>
      <c r="P74" s="11">
        <v>4614251.03</v>
      </c>
      <c r="Q74" s="7" t="s">
        <v>365</v>
      </c>
      <c r="R74" s="11">
        <f>O74/11700</f>
        <v>549.30674957264955</v>
      </c>
      <c r="S74" s="7" t="s">
        <v>41</v>
      </c>
      <c r="T74" s="12">
        <v>21089</v>
      </c>
      <c r="U74" s="13" t="s">
        <v>42</v>
      </c>
      <c r="V74" s="7" t="s">
        <v>43</v>
      </c>
      <c r="W74" s="10">
        <f>'[1]V, inciso p) (OP)'!AM40</f>
        <v>42592</v>
      </c>
      <c r="X74" s="10">
        <f>'[1]V, inciso p) (OP)'!AN40</f>
        <v>42683</v>
      </c>
      <c r="Y74" s="7" t="s">
        <v>360</v>
      </c>
      <c r="Z74" s="7" t="s">
        <v>361</v>
      </c>
      <c r="AA74" s="7" t="s">
        <v>362</v>
      </c>
      <c r="AB74" s="21" t="s">
        <v>2773</v>
      </c>
      <c r="AC74" s="6" t="s">
        <v>2438</v>
      </c>
      <c r="AD74" s="6"/>
    </row>
    <row r="75" spans="1:30" ht="69.95" customHeight="1">
      <c r="A75" s="34">
        <v>62</v>
      </c>
      <c r="B75" s="7">
        <v>2016</v>
      </c>
      <c r="C75" s="6" t="s">
        <v>31</v>
      </c>
      <c r="D75" s="6" t="str">
        <f>'[1]V, inciso p) (OP)'!D41</f>
        <v>DOPI-MUN-MA-PAV-LP-062-2016</v>
      </c>
      <c r="E75" s="10">
        <f>'[1]V, inciso p) (OP)'!AD41</f>
        <v>42632</v>
      </c>
      <c r="F75" s="6" t="str">
        <f>'[1]V, inciso p) (OP)'!AL41</f>
        <v>Rehabilitación de la pavimentación de la Av. López Mateos Sur de Periférico Sur a Av. Copérnico (carriles centrales se sustituyen con concreto hidráulico).</v>
      </c>
      <c r="G75" s="6" t="s">
        <v>63</v>
      </c>
      <c r="H75" s="39">
        <v>79605111.310000002</v>
      </c>
      <c r="I75" s="6" t="s">
        <v>366</v>
      </c>
      <c r="J75" s="6" t="str">
        <f>'[1]V, inciso p) (OP)'!T41</f>
        <v>José Manuel</v>
      </c>
      <c r="K75" s="7" t="str">
        <f>'[1]V, inciso p) (OP)'!U41</f>
        <v>Gómez</v>
      </c>
      <c r="L75" s="7" t="str">
        <f>'[1]V, inciso p) (OP)'!V41</f>
        <v>Castellanos</v>
      </c>
      <c r="M75" s="6" t="s">
        <v>166</v>
      </c>
      <c r="N75" s="7" t="str">
        <f>'[1]V, inciso p) (OP)'!X41</f>
        <v>GDI020122D2A</v>
      </c>
      <c r="O75" s="11">
        <f t="shared" si="2"/>
        <v>79605111.310000002</v>
      </c>
      <c r="P75" s="11">
        <v>77035430.310000002</v>
      </c>
      <c r="Q75" s="7" t="s">
        <v>367</v>
      </c>
      <c r="R75" s="11">
        <f>O75/38846</f>
        <v>2049.2486050043763</v>
      </c>
      <c r="S75" s="7" t="s">
        <v>41</v>
      </c>
      <c r="T75" s="12">
        <v>845000</v>
      </c>
      <c r="U75" s="13" t="s">
        <v>42</v>
      </c>
      <c r="V75" s="7" t="s">
        <v>43</v>
      </c>
      <c r="W75" s="10">
        <f>'[1]V, inciso p) (OP)'!AM41</f>
        <v>42632</v>
      </c>
      <c r="X75" s="10">
        <f>'[1]V, inciso p) (OP)'!AN41</f>
        <v>42768</v>
      </c>
      <c r="Y75" s="7" t="s">
        <v>368</v>
      </c>
      <c r="Z75" s="7" t="s">
        <v>369</v>
      </c>
      <c r="AA75" s="7" t="s">
        <v>370</v>
      </c>
      <c r="AB75" s="21" t="s">
        <v>1410</v>
      </c>
      <c r="AC75" s="6" t="s">
        <v>2438</v>
      </c>
      <c r="AD75" s="6"/>
    </row>
    <row r="76" spans="1:30" ht="69.95" customHeight="1">
      <c r="A76" s="34">
        <v>63</v>
      </c>
      <c r="B76" s="7">
        <v>2016</v>
      </c>
      <c r="C76" s="6" t="s">
        <v>31</v>
      </c>
      <c r="D76" s="6" t="str">
        <f>'[1]V, inciso p) (OP)'!D42</f>
        <v>DOPI-MUN-MA-PAV-LP-063-2016</v>
      </c>
      <c r="E76" s="10">
        <f>'[1]V, inciso p) (OP)'!AD42</f>
        <v>42632</v>
      </c>
      <c r="F76" s="6" t="str">
        <f>'[1]V, inciso p) (OP)'!AL42</f>
        <v>Rehabilitación y mantenimiento de pavimentos de vialidades (reencarpetamiento, sellado, sustitución de lozas dañadas, calafateo y señalamiento horizontal) en diferentes colonias del municipio.</v>
      </c>
      <c r="G76" s="6" t="s">
        <v>63</v>
      </c>
      <c r="H76" s="39">
        <v>79764410.700000003</v>
      </c>
      <c r="I76" s="6" t="s">
        <v>371</v>
      </c>
      <c r="J76" s="6" t="str">
        <f>'[1]V, inciso p) (OP)'!T42</f>
        <v>Diego</v>
      </c>
      <c r="K76" s="7" t="str">
        <f>'[1]V, inciso p) (OP)'!U42</f>
        <v>Valenzuela</v>
      </c>
      <c r="L76" s="7" t="str">
        <f>'[1]V, inciso p) (OP)'!V42</f>
        <v>Cadena</v>
      </c>
      <c r="M76" s="6" t="s">
        <v>2970</v>
      </c>
      <c r="N76" s="7" t="str">
        <f>'[1]V, inciso p) (OP)'!X42</f>
        <v>FAC010607TI0</v>
      </c>
      <c r="O76" s="11">
        <f t="shared" si="2"/>
        <v>79764410.700000003</v>
      </c>
      <c r="P76" s="11">
        <v>78255963.970400006</v>
      </c>
      <c r="Q76" s="7" t="s">
        <v>372</v>
      </c>
      <c r="R76" s="11">
        <f>O76/95806</f>
        <v>832.56174665469803</v>
      </c>
      <c r="S76" s="7" t="s">
        <v>41</v>
      </c>
      <c r="T76" s="12">
        <v>243524</v>
      </c>
      <c r="U76" s="13" t="s">
        <v>42</v>
      </c>
      <c r="V76" s="7" t="s">
        <v>43</v>
      </c>
      <c r="W76" s="10">
        <f>'[1]V, inciso p) (OP)'!AM42</f>
        <v>42632</v>
      </c>
      <c r="X76" s="10">
        <f>'[1]V, inciso p) (OP)'!AN42</f>
        <v>42768</v>
      </c>
      <c r="Y76" s="7" t="s">
        <v>368</v>
      </c>
      <c r="Z76" s="7" t="s">
        <v>369</v>
      </c>
      <c r="AA76" s="7" t="s">
        <v>370</v>
      </c>
      <c r="AB76" s="21" t="s">
        <v>1411</v>
      </c>
      <c r="AC76" s="6" t="s">
        <v>2438</v>
      </c>
      <c r="AD76" s="6"/>
    </row>
    <row r="77" spans="1:30" ht="69.95" customHeight="1">
      <c r="A77" s="34">
        <v>64</v>
      </c>
      <c r="B77" s="7">
        <v>2016</v>
      </c>
      <c r="C77" s="6" t="s">
        <v>31</v>
      </c>
      <c r="D77" s="6" t="str">
        <f>'[1]V, inciso p) (OP)'!D43</f>
        <v>DOPI-MUN-AMP-PAV-LP-064-2016</v>
      </c>
      <c r="E77" s="10">
        <f>'[1]V, inciso p) (OP)'!AD43</f>
        <v>42591</v>
      </c>
      <c r="F77" s="32" t="str">
        <f>'[1]V, inciso p) (OP)'!AL43</f>
        <v>Reencarpetamiento de la vialidad, desbastado de la carpeta existente, nivelación de pozos de visita, cajas de válvulas, rejillas pluviales, bocas de tormenta y elementos estructurales que sobresalen de la rasante de la vialidad, calafateos, señalética horizontal en la Av. Juan Gil Preciado (carriles centrales), de carretera a Colotlán a Tesistán, municipio de Zapopan, Jalisco.</v>
      </c>
      <c r="G77" s="6" t="s">
        <v>63</v>
      </c>
      <c r="H77" s="39">
        <v>12009584.140000001</v>
      </c>
      <c r="I77" s="6" t="str">
        <f>'[1]V, inciso p) (OP)'!AS43</f>
        <v>Colonia Nuevo México</v>
      </c>
      <c r="J77" s="6" t="str">
        <f>'[1]V, inciso p) (OP)'!T43</f>
        <v>Rodrigo</v>
      </c>
      <c r="K77" s="7" t="str">
        <f>'[1]V, inciso p) (OP)'!U43</f>
        <v>Ramos</v>
      </c>
      <c r="L77" s="7" t="str">
        <f>'[1]V, inciso p) (OP)'!V43</f>
        <v>Garibi</v>
      </c>
      <c r="M77" s="6" t="s">
        <v>262</v>
      </c>
      <c r="N77" s="7" t="str">
        <f>'[1]V, inciso p) (OP)'!X43</f>
        <v>CMA070307RU6</v>
      </c>
      <c r="O77" s="11">
        <f t="shared" si="2"/>
        <v>12009584.140000001</v>
      </c>
      <c r="P77" s="11">
        <v>12009584.140000001</v>
      </c>
      <c r="Q77" s="7" t="s">
        <v>374</v>
      </c>
      <c r="R77" s="11">
        <f>O77/40328</f>
        <v>297.79766266613768</v>
      </c>
      <c r="S77" s="7" t="s">
        <v>41</v>
      </c>
      <c r="T77" s="12">
        <v>60027</v>
      </c>
      <c r="U77" s="13" t="s">
        <v>42</v>
      </c>
      <c r="V77" s="7" t="s">
        <v>43</v>
      </c>
      <c r="W77" s="10">
        <f>'[1]V, inciso p) (OP)'!AM43</f>
        <v>42592</v>
      </c>
      <c r="X77" s="10">
        <f>'[1]V, inciso p) (OP)'!AN43</f>
        <v>42666</v>
      </c>
      <c r="Y77" s="7" t="s">
        <v>375</v>
      </c>
      <c r="Z77" s="7" t="s">
        <v>252</v>
      </c>
      <c r="AA77" s="7" t="s">
        <v>253</v>
      </c>
      <c r="AB77" s="21" t="s">
        <v>1353</v>
      </c>
      <c r="AC77" s="6" t="s">
        <v>2438</v>
      </c>
      <c r="AD77" s="6"/>
    </row>
    <row r="78" spans="1:30" ht="69.95" customHeight="1">
      <c r="A78" s="34">
        <v>65</v>
      </c>
      <c r="B78" s="7">
        <v>2016</v>
      </c>
      <c r="C78" s="6" t="s">
        <v>31</v>
      </c>
      <c r="D78" s="6" t="str">
        <f>'[1]V, inciso p) (OP)'!D44</f>
        <v>DOPI-MUN-AMP-PAV-LP-065-2016</v>
      </c>
      <c r="E78" s="10">
        <f>'[1]V, inciso p) (OP)'!AD44</f>
        <v>42592</v>
      </c>
      <c r="F78" s="32" t="str">
        <f>'[1]V, inciso p) (OP)'!AL44</f>
        <v>Reencarpetamiento de la vialidad, desbastado de la carpeta existente, nivelación de pozos de visita, cajas de válvulas, rejillas pluviales, bocas de tormenta y elementos estructurales que sobresalen de la rasante de la vialidad, calafateos, señaletica horizontal en la Av. Juan Gil Preciado (carriles laterales), de carretera a Colotlán a Tesistán, municipio de Zapopan, Jalisco.</v>
      </c>
      <c r="G78" s="6" t="s">
        <v>63</v>
      </c>
      <c r="H78" s="39">
        <v>10115493.029999999</v>
      </c>
      <c r="I78" s="6" t="str">
        <f>'[1]V, inciso p) (OP)'!AS44</f>
        <v>Colonia Nuevo México</v>
      </c>
      <c r="J78" s="6" t="str">
        <f>'[1]V, inciso p) (OP)'!T44</f>
        <v>Jose Luis</v>
      </c>
      <c r="K78" s="7" t="str">
        <f>'[1]V, inciso p) (OP)'!U44</f>
        <v>Brenez</v>
      </c>
      <c r="L78" s="7" t="str">
        <f>'[1]V, inciso p) (OP)'!V44</f>
        <v>Moreno</v>
      </c>
      <c r="M78" s="6" t="s">
        <v>2971</v>
      </c>
      <c r="N78" s="7" t="str">
        <f>'[1]V, inciso p) (OP)'!X44</f>
        <v>BCO900423GC5</v>
      </c>
      <c r="O78" s="11">
        <f t="shared" si="2"/>
        <v>10115493.029999999</v>
      </c>
      <c r="P78" s="11">
        <v>10088983.830000002</v>
      </c>
      <c r="Q78" s="7" t="s">
        <v>376</v>
      </c>
      <c r="R78" s="11">
        <f>O78/24640</f>
        <v>410.53137297077922</v>
      </c>
      <c r="S78" s="7" t="s">
        <v>41</v>
      </c>
      <c r="T78" s="12">
        <v>60027</v>
      </c>
      <c r="U78" s="13" t="s">
        <v>42</v>
      </c>
      <c r="V78" s="7" t="s">
        <v>43</v>
      </c>
      <c r="W78" s="10">
        <f>'[1]V, inciso p) (OP)'!AM44</f>
        <v>42592</v>
      </c>
      <c r="X78" s="10">
        <f>'[1]V, inciso p) (OP)'!AN44</f>
        <v>42683</v>
      </c>
      <c r="Y78" s="7" t="s">
        <v>375</v>
      </c>
      <c r="Z78" s="7" t="s">
        <v>252</v>
      </c>
      <c r="AA78" s="7" t="s">
        <v>253</v>
      </c>
      <c r="AB78" s="21" t="s">
        <v>2818</v>
      </c>
      <c r="AC78" s="6" t="s">
        <v>2438</v>
      </c>
      <c r="AD78" s="6"/>
    </row>
    <row r="79" spans="1:30" ht="69.95" customHeight="1">
      <c r="A79" s="34">
        <v>66</v>
      </c>
      <c r="B79" s="7">
        <v>2016</v>
      </c>
      <c r="C79" s="6" t="s">
        <v>31</v>
      </c>
      <c r="D79" s="6" t="str">
        <f>'[1]V, inciso p) (OP)'!D45</f>
        <v>DOPI-MUN-AMP-PAV-LP-066-2016</v>
      </c>
      <c r="E79" s="10">
        <f>'[1]V, inciso p) (OP)'!AD45</f>
        <v>42592</v>
      </c>
      <c r="F79" s="32" t="str">
        <f>'[1]V, inciso p) (OP)'!AL45</f>
        <v>Construcción de la primera etapa de pavimento de concreto hidráulico MR-45, de línea de agua potable, drenaje sanitario, alumbrado público, guarniciones, banquetas, ciclovía, señalética y arbolado en la Avenida Ramón Corona carril sur primera etapa, en la colonia Base Áerea Militar , municipio de Zapopan, Jalisco.</v>
      </c>
      <c r="G79" s="6" t="s">
        <v>63</v>
      </c>
      <c r="H79" s="38">
        <f>9475895.37+2358367.78</f>
        <v>11834263.149999999</v>
      </c>
      <c r="I79" s="6" t="str">
        <f>'[1]V, inciso p) (OP)'!AS45</f>
        <v>Colonia Base Aerea Militar</v>
      </c>
      <c r="J79" s="6" t="str">
        <f>'[1]V, inciso p) (OP)'!T45</f>
        <v>Sergio Cesar</v>
      </c>
      <c r="K79" s="7" t="str">
        <f>'[1]V, inciso p) (OP)'!U45</f>
        <v>Diaz</v>
      </c>
      <c r="L79" s="7" t="str">
        <f>'[1]V, inciso p) (OP)'!V45</f>
        <v>Quiroz</v>
      </c>
      <c r="M79" s="6" t="s">
        <v>2972</v>
      </c>
      <c r="N79" s="7" t="str">
        <f>'[1]V, inciso p) (OP)'!X45</f>
        <v>GUN880613NY1</v>
      </c>
      <c r="O79" s="11">
        <f t="shared" si="2"/>
        <v>11834263.149999999</v>
      </c>
      <c r="P79" s="11">
        <v>11833263.15</v>
      </c>
      <c r="Q79" s="7" t="s">
        <v>377</v>
      </c>
      <c r="R79" s="11">
        <f>O79/6073</f>
        <v>1948.6683928865468</v>
      </c>
      <c r="S79" s="7" t="s">
        <v>41</v>
      </c>
      <c r="T79" s="12">
        <v>3428</v>
      </c>
      <c r="U79" s="13" t="s">
        <v>42</v>
      </c>
      <c r="V79" s="7" t="s">
        <v>43</v>
      </c>
      <c r="W79" s="10">
        <f>'[1]V, inciso p) (OP)'!AM45</f>
        <v>42592</v>
      </c>
      <c r="X79" s="10">
        <f>'[1]V, inciso p) (OP)'!AN45</f>
        <v>42713</v>
      </c>
      <c r="Y79" s="7" t="s">
        <v>358</v>
      </c>
      <c r="Z79" s="7" t="s">
        <v>231</v>
      </c>
      <c r="AA79" s="7" t="s">
        <v>143</v>
      </c>
      <c r="AB79" s="21" t="s">
        <v>1494</v>
      </c>
      <c r="AC79" s="6" t="s">
        <v>2438</v>
      </c>
      <c r="AD79" s="6"/>
    </row>
    <row r="80" spans="1:30" ht="69.95" customHeight="1">
      <c r="A80" s="34">
        <v>68</v>
      </c>
      <c r="B80" s="7">
        <v>2016</v>
      </c>
      <c r="C80" s="6" t="s">
        <v>62</v>
      </c>
      <c r="D80" s="6" t="str">
        <f>'[1]V, inciso o) (OP)'!C42</f>
        <v>DOPI-MUN-RM-EM-AD-068-2016</v>
      </c>
      <c r="E80" s="10">
        <f>'[1]V, inciso o) (OP)'!V42</f>
        <v>42545</v>
      </c>
      <c r="F80" s="6" t="str">
        <f>'[1]V, inciso o) (OP)'!AA42</f>
        <v>Construcción de solución pluvial y de reforzamiento en terreno afectado por deslaves en paredes de terreno natural en terreno anexo a Residencial Poniente, Municipio de Zapopan, Jalisco.</v>
      </c>
      <c r="G80" s="6" t="s">
        <v>3308</v>
      </c>
      <c r="H80" s="39">
        <v>4496387.16</v>
      </c>
      <c r="I80" s="6" t="s">
        <v>378</v>
      </c>
      <c r="J80" s="6" t="str">
        <f>'[1]V, inciso o) (OP)'!G42</f>
        <v>Alfredo</v>
      </c>
      <c r="K80" s="7" t="str">
        <f>'[1]V, inciso o) (OP)'!H42</f>
        <v>Aguirre</v>
      </c>
      <c r="L80" s="7" t="str">
        <f>'[1]V, inciso o) (OP)'!I42</f>
        <v>Montoya</v>
      </c>
      <c r="M80" s="6" t="s">
        <v>2973</v>
      </c>
      <c r="N80" s="7" t="str">
        <f>'[1]V, inciso o) (OP)'!K42</f>
        <v>TAI920312952</v>
      </c>
      <c r="O80" s="11">
        <f t="shared" si="2"/>
        <v>4496387.16</v>
      </c>
      <c r="P80" s="11">
        <v>3943234.23</v>
      </c>
      <c r="Q80" s="7" t="s">
        <v>379</v>
      </c>
      <c r="R80" s="11">
        <f>O80/855</f>
        <v>5258.9323508771931</v>
      </c>
      <c r="S80" s="7" t="s">
        <v>41</v>
      </c>
      <c r="T80" s="12">
        <v>342</v>
      </c>
      <c r="U80" s="13" t="s">
        <v>42</v>
      </c>
      <c r="V80" s="7" t="s">
        <v>43</v>
      </c>
      <c r="W80" s="10">
        <f>'[1]V, inciso o) (OP)'!AD42</f>
        <v>42548</v>
      </c>
      <c r="X80" s="10">
        <f>'[1]V, inciso o) (OP)'!AE42</f>
        <v>42637</v>
      </c>
      <c r="Y80" s="7" t="s">
        <v>380</v>
      </c>
      <c r="Z80" s="7" t="s">
        <v>45</v>
      </c>
      <c r="AA80" s="7" t="s">
        <v>46</v>
      </c>
      <c r="AB80" s="21" t="s">
        <v>1376</v>
      </c>
      <c r="AC80" s="6" t="s">
        <v>2438</v>
      </c>
      <c r="AD80" s="6"/>
    </row>
    <row r="81" spans="1:30" ht="69.95" customHeight="1">
      <c r="A81" s="34">
        <v>69</v>
      </c>
      <c r="B81" s="7">
        <v>2016</v>
      </c>
      <c r="C81" s="6" t="s">
        <v>62</v>
      </c>
      <c r="D81" s="6" t="str">
        <f>'[1]V, inciso o) (OP)'!C43</f>
        <v>DOPI-MUN-RM-EM-AD-069-2016</v>
      </c>
      <c r="E81" s="10">
        <f>'[1]V, inciso o) (OP)'!V43</f>
        <v>42542</v>
      </c>
      <c r="F81" s="32" t="str">
        <f>'[1]V, inciso o) (OP)'!AA43</f>
        <v>Reconstrucción de la cimentación, instalaciones, estructura y terminados de viviendas, y construcción de casa habitación afectadas por la explosion sucitada en el fraccionamiento Tabachines en las confluencias de la calle Frambuesos y la Av. Caobas, Municipio de Zapopan, Jalisco.</v>
      </c>
      <c r="G81" s="6" t="s">
        <v>63</v>
      </c>
      <c r="H81" s="39">
        <v>2358235.4400000004</v>
      </c>
      <c r="I81" s="6" t="s">
        <v>381</v>
      </c>
      <c r="J81" s="6" t="str">
        <f>'[1]V, inciso o) (OP)'!G43</f>
        <v>José Antonio</v>
      </c>
      <c r="K81" s="7" t="str">
        <f>'[1]V, inciso o) (OP)'!H43</f>
        <v>Cuevas</v>
      </c>
      <c r="L81" s="7" t="str">
        <f>'[1]V, inciso o) (OP)'!I43</f>
        <v>Briseño</v>
      </c>
      <c r="M81" s="6" t="s">
        <v>2974</v>
      </c>
      <c r="N81" s="7" t="str">
        <f>'[1]V, inciso o) (OP)'!K43</f>
        <v>CUBA5705179V8</v>
      </c>
      <c r="O81" s="11">
        <f t="shared" si="2"/>
        <v>2358235.4400000004</v>
      </c>
      <c r="P81" s="11">
        <v>1022713.77</v>
      </c>
      <c r="Q81" s="7" t="s">
        <v>382</v>
      </c>
      <c r="R81" s="11">
        <f>O81/462</f>
        <v>5104.4057142857155</v>
      </c>
      <c r="S81" s="7" t="s">
        <v>41</v>
      </c>
      <c r="T81" s="12">
        <v>14</v>
      </c>
      <c r="U81" s="13" t="s">
        <v>42</v>
      </c>
      <c r="V81" s="7" t="s">
        <v>43</v>
      </c>
      <c r="W81" s="10">
        <f>'[1]V, inciso o) (OP)'!AD43</f>
        <v>42543</v>
      </c>
      <c r="X81" s="10">
        <f>'[1]V, inciso o) (OP)'!AE43</f>
        <v>42632</v>
      </c>
      <c r="Y81" s="7" t="s">
        <v>383</v>
      </c>
      <c r="Z81" s="7" t="s">
        <v>384</v>
      </c>
      <c r="AA81" s="7" t="s">
        <v>385</v>
      </c>
      <c r="AB81" s="21" t="s">
        <v>3276</v>
      </c>
      <c r="AC81" s="6" t="s">
        <v>2438</v>
      </c>
      <c r="AD81" s="6"/>
    </row>
    <row r="82" spans="1:30" ht="69.95" customHeight="1">
      <c r="A82" s="34">
        <v>70</v>
      </c>
      <c r="B82" s="7">
        <v>2016</v>
      </c>
      <c r="C82" s="6" t="s">
        <v>62</v>
      </c>
      <c r="D82" s="6" t="str">
        <f>'[1]V, inciso o) (OP)'!C44</f>
        <v>DOPI-MUN-RM-CA-AD-070-2016</v>
      </c>
      <c r="E82" s="10">
        <f>'[1]V, inciso o) (OP)'!V44</f>
        <v>42542</v>
      </c>
      <c r="F82" s="32" t="str">
        <f>'[1]V, inciso o) (OP)'!AA44</f>
        <v>Rehabilitación de daños por sismo en aplanados, impermeabilizantes, pintura, plafones, pisos interiores y exteriores, jardineras, construcción de rampas, cubierta exterior, adecuaciones hidráulicas y acciones varias, en la Cruz Verde Santa Lucía, Municipio de Zapopan, Jalisco.</v>
      </c>
      <c r="G82" s="6" t="s">
        <v>3308</v>
      </c>
      <c r="H82" s="39">
        <v>1449650.2300000002</v>
      </c>
      <c r="I82" s="6" t="s">
        <v>386</v>
      </c>
      <c r="J82" s="6" t="str">
        <f>'[1]V, inciso o) (OP)'!G44</f>
        <v xml:space="preserve">Eduardo </v>
      </c>
      <c r="K82" s="7" t="str">
        <f>'[1]V, inciso o) (OP)'!H44</f>
        <v>Plascencia</v>
      </c>
      <c r="L82" s="7" t="str">
        <f>'[1]V, inciso o) (OP)'!I44</f>
        <v>Macias</v>
      </c>
      <c r="M82" s="6" t="s">
        <v>2975</v>
      </c>
      <c r="N82" s="7" t="str">
        <f>'[1]V, inciso o) (OP)'!K44</f>
        <v>CEP080129EK6</v>
      </c>
      <c r="O82" s="11">
        <f t="shared" si="2"/>
        <v>1449650.2300000002</v>
      </c>
      <c r="P82" s="11">
        <v>1049516.9099999999</v>
      </c>
      <c r="Q82" s="7" t="s">
        <v>387</v>
      </c>
      <c r="R82" s="11">
        <f>O82/1137</f>
        <v>1274.9782145998242</v>
      </c>
      <c r="S82" s="7" t="s">
        <v>41</v>
      </c>
      <c r="T82" s="12">
        <v>89669</v>
      </c>
      <c r="U82" s="13" t="s">
        <v>42</v>
      </c>
      <c r="V82" s="7" t="s">
        <v>43</v>
      </c>
      <c r="W82" s="10">
        <f>'[1]V, inciso o) (OP)'!AD44</f>
        <v>42543</v>
      </c>
      <c r="X82" s="10">
        <f>'[1]V, inciso o) (OP)'!AE44</f>
        <v>42632</v>
      </c>
      <c r="Y82" s="7" t="s">
        <v>331</v>
      </c>
      <c r="Z82" s="7" t="s">
        <v>332</v>
      </c>
      <c r="AA82" s="7" t="s">
        <v>116</v>
      </c>
      <c r="AB82" s="21" t="s">
        <v>2554</v>
      </c>
      <c r="AC82" s="6" t="s">
        <v>2438</v>
      </c>
      <c r="AD82" s="6"/>
    </row>
    <row r="83" spans="1:30" ht="69.95" customHeight="1">
      <c r="A83" s="34">
        <v>71</v>
      </c>
      <c r="B83" s="7">
        <v>2016</v>
      </c>
      <c r="C83" s="6" t="s">
        <v>62</v>
      </c>
      <c r="D83" s="6" t="str">
        <f>'[1]V, inciso o) (OP)'!C45</f>
        <v>DOPI-MUN-RM-CA-AD-071-2016</v>
      </c>
      <c r="E83" s="10">
        <f>'[1]V, inciso o) (OP)'!V45</f>
        <v>42542</v>
      </c>
      <c r="F83" s="32" t="str">
        <f>'[1]V, inciso o) (OP)'!AA45</f>
        <v>Construcción de banquetas, guarnición, pasos holandeses, cruces pluviales, muros de mamposteo, renivelaciones asfálticas y alumbrado público sobre Periférico Norte en las confluencias de la calle Parres Arias - Zona  CUCSH, para garantizar el cruce seguro de estudiantes, en zona Belenes, Municipio de Zapopan, Jalisco.</v>
      </c>
      <c r="G83" s="6" t="s">
        <v>63</v>
      </c>
      <c r="H83" s="39">
        <v>1301258.44</v>
      </c>
      <c r="I83" s="6" t="s">
        <v>388</v>
      </c>
      <c r="J83" s="6" t="str">
        <f>'[1]V, inciso o) (OP)'!G45</f>
        <v>Ofelia</v>
      </c>
      <c r="K83" s="7" t="str">
        <f>'[1]V, inciso o) (OP)'!H45</f>
        <v>Reyes</v>
      </c>
      <c r="L83" s="7" t="str">
        <f>'[1]V, inciso o) (OP)'!I45</f>
        <v>Estrella</v>
      </c>
      <c r="M83" s="6" t="s">
        <v>2976</v>
      </c>
      <c r="N83" s="7" t="str">
        <f>'[1]V, inciso o) (OP)'!K45</f>
        <v>WCO130628TM3</v>
      </c>
      <c r="O83" s="11">
        <f t="shared" si="2"/>
        <v>1301258.44</v>
      </c>
      <c r="P83" s="11">
        <v>1301248.23</v>
      </c>
      <c r="Q83" s="7" t="s">
        <v>389</v>
      </c>
      <c r="R83" s="11">
        <f>O83/112</f>
        <v>11618.378928571428</v>
      </c>
      <c r="S83" s="7" t="s">
        <v>41</v>
      </c>
      <c r="T83" s="12">
        <v>36304</v>
      </c>
      <c r="U83" s="13" t="s">
        <v>42</v>
      </c>
      <c r="V83" s="7" t="s">
        <v>43</v>
      </c>
      <c r="W83" s="10">
        <f>'[1]V, inciso o) (OP)'!AD45</f>
        <v>42543</v>
      </c>
      <c r="X83" s="10">
        <f>'[1]V, inciso o) (OP)'!AE45</f>
        <v>42602</v>
      </c>
      <c r="Y83" s="7" t="s">
        <v>360</v>
      </c>
      <c r="Z83" s="7" t="s">
        <v>361</v>
      </c>
      <c r="AA83" s="7" t="s">
        <v>362</v>
      </c>
      <c r="AB83" s="21" t="s">
        <v>1495</v>
      </c>
      <c r="AC83" s="6" t="s">
        <v>2438</v>
      </c>
      <c r="AD83" s="6"/>
    </row>
    <row r="84" spans="1:30" ht="69.95" customHeight="1">
      <c r="A84" s="34">
        <v>72</v>
      </c>
      <c r="B84" s="7">
        <v>2016</v>
      </c>
      <c r="C84" s="6" t="s">
        <v>62</v>
      </c>
      <c r="D84" s="6" t="str">
        <f>'[1]V, inciso o) (OP)'!C46</f>
        <v>DOPI-MUN-RM-PAV-AD-072-2016</v>
      </c>
      <c r="E84" s="10">
        <f>'[1]V, inciso o) (OP)'!V46</f>
        <v>42542</v>
      </c>
      <c r="F84" s="32" t="str">
        <f>'[1]V, inciso o) (OP)'!AA46</f>
        <v>Construcción de pavimento de concreto zampeado, guarniciones y banquetas, instalaciones hidrosanitarias y pluviales, conexión a puente peatonal, preparaciones de red eléctrica y de alumbrado público, en la calle  Venustiano Carranza en la colonia Agua Fría, Municipio de Zapopan, Jalisco.</v>
      </c>
      <c r="G84" s="6" t="s">
        <v>3308</v>
      </c>
      <c r="H84" s="39">
        <v>1503202.18</v>
      </c>
      <c r="I84" s="6" t="s">
        <v>390</v>
      </c>
      <c r="J84" s="6" t="str">
        <f>'[1]V, inciso o) (OP)'!G46</f>
        <v>Elba</v>
      </c>
      <c r="K84" s="7" t="str">
        <f>'[1]V, inciso o) (OP)'!H46</f>
        <v xml:space="preserve">González </v>
      </c>
      <c r="L84" s="7" t="str">
        <f>'[1]V, inciso o) (OP)'!I46</f>
        <v>Aguirre</v>
      </c>
      <c r="M84" s="6" t="s">
        <v>2977</v>
      </c>
      <c r="N84" s="7" t="str">
        <f>'[1]V, inciso o) (OP)'!K46</f>
        <v>GUR120612P22</v>
      </c>
      <c r="O84" s="11">
        <f t="shared" si="2"/>
        <v>1503202.18</v>
      </c>
      <c r="P84" s="11">
        <v>704023.1372</v>
      </c>
      <c r="Q84" s="7" t="s">
        <v>391</v>
      </c>
      <c r="R84" s="11">
        <f>O84/680</f>
        <v>2210.5914411764707</v>
      </c>
      <c r="S84" s="7" t="s">
        <v>41</v>
      </c>
      <c r="T84" s="12">
        <v>918</v>
      </c>
      <c r="U84" s="13" t="s">
        <v>42</v>
      </c>
      <c r="V84" s="7" t="s">
        <v>43</v>
      </c>
      <c r="W84" s="10">
        <f>'[1]V, inciso o) (OP)'!AD46</f>
        <v>42543</v>
      </c>
      <c r="X84" s="10">
        <f>'[1]V, inciso o) (OP)'!AE46</f>
        <v>42632</v>
      </c>
      <c r="Y84" s="7" t="s">
        <v>345</v>
      </c>
      <c r="Z84" s="7" t="s">
        <v>346</v>
      </c>
      <c r="AA84" s="7" t="s">
        <v>347</v>
      </c>
      <c r="AB84" s="21" t="s">
        <v>1377</v>
      </c>
      <c r="AC84" s="6" t="s">
        <v>2438</v>
      </c>
      <c r="AD84" s="6"/>
    </row>
    <row r="85" spans="1:30" ht="69.95" customHeight="1">
      <c r="A85" s="34">
        <v>73</v>
      </c>
      <c r="B85" s="7">
        <v>2016</v>
      </c>
      <c r="C85" s="6" t="s">
        <v>62</v>
      </c>
      <c r="D85" s="6" t="str">
        <f>'[1]V, inciso o) (OP)'!C47</f>
        <v>DOPI-MUN-RM-IM-AD-073-2016</v>
      </c>
      <c r="E85" s="10">
        <f>'[1]V, inciso o) (OP)'!V47</f>
        <v>42545</v>
      </c>
      <c r="F85" s="6" t="str">
        <f>'[1]V, inciso o) (OP)'!AA47</f>
        <v>Construcción y rehabilitación de bardas perimetrales en el Centro Comunitario No. 15 del DIF ubicado en San Juan de Ocotán y en la guardería CAIC del DIF ubicado en Miramar, Municipio de Zapopan, Jalisco.</v>
      </c>
      <c r="G85" s="6" t="s">
        <v>3308</v>
      </c>
      <c r="H85" s="39">
        <v>1398736.1200000003</v>
      </c>
      <c r="I85" s="6" t="s">
        <v>392</v>
      </c>
      <c r="J85" s="6" t="str">
        <f>'[1]V, inciso o) (OP)'!G47</f>
        <v>Hugo Armando</v>
      </c>
      <c r="K85" s="7" t="str">
        <f>'[1]V, inciso o) (OP)'!H47</f>
        <v>Prieto</v>
      </c>
      <c r="L85" s="7" t="str">
        <f>'[1]V, inciso o) (OP)'!I47</f>
        <v>Jiménez</v>
      </c>
      <c r="M85" s="6" t="s">
        <v>2978</v>
      </c>
      <c r="N85" s="7" t="str">
        <f>'[1]V, inciso o) (OP)'!K47</f>
        <v>CRP870708I62</v>
      </c>
      <c r="O85" s="11">
        <f t="shared" si="2"/>
        <v>1398736.1200000003</v>
      </c>
      <c r="P85" s="11">
        <v>911743.97000000009</v>
      </c>
      <c r="Q85" s="7" t="s">
        <v>393</v>
      </c>
      <c r="R85" s="11">
        <f>O85/312</f>
        <v>4483.128589743591</v>
      </c>
      <c r="S85" s="7" t="s">
        <v>41</v>
      </c>
      <c r="T85" s="12">
        <v>19228</v>
      </c>
      <c r="U85" s="13" t="s">
        <v>42</v>
      </c>
      <c r="V85" s="7" t="s">
        <v>43</v>
      </c>
      <c r="W85" s="10">
        <f>'[1]V, inciso o) (OP)'!AD47</f>
        <v>42548</v>
      </c>
      <c r="X85" s="10">
        <f>'[1]V, inciso o) (OP)'!AE47</f>
        <v>42607</v>
      </c>
      <c r="Y85" s="7" t="s">
        <v>394</v>
      </c>
      <c r="Z85" s="7" t="s">
        <v>279</v>
      </c>
      <c r="AA85" s="7" t="s">
        <v>78</v>
      </c>
      <c r="AB85" s="21" t="s">
        <v>2555</v>
      </c>
      <c r="AC85" s="6" t="s">
        <v>2438</v>
      </c>
      <c r="AD85" s="6"/>
    </row>
    <row r="86" spans="1:30" ht="69.95" customHeight="1">
      <c r="A86" s="34">
        <v>74</v>
      </c>
      <c r="B86" s="7">
        <v>2016</v>
      </c>
      <c r="C86" s="6" t="s">
        <v>62</v>
      </c>
      <c r="D86" s="6" t="str">
        <f>'[1]V, inciso o) (OP)'!C48</f>
        <v>DOPI-MUN-R33FORTA-OC-AD-074-2016</v>
      </c>
      <c r="E86" s="10">
        <f>'[1]V, inciso o) (OP)'!V48</f>
        <v>42521</v>
      </c>
      <c r="F86" s="32" t="str">
        <f>'[1]V, inciso o) (OP)'!AA48</f>
        <v>Desazolve y construcción de muros de contención con mamposteria del Canal Puerta Plata en unión con Canal Santa Isabel, y desazolve de Canal Santa Lucia en la Colonia Santa Mónica Los Chorritos y Colonia Santa Lucia, Municipio de Zapopan, Jalisco.</v>
      </c>
      <c r="G86" s="6" t="s">
        <v>3308</v>
      </c>
      <c r="H86" s="39">
        <v>1472628.4000000001</v>
      </c>
      <c r="I86" s="6" t="s">
        <v>395</v>
      </c>
      <c r="J86" s="6" t="str">
        <f>'[1]V, inciso o) (OP)'!G48</f>
        <v>Luis German</v>
      </c>
      <c r="K86" s="7" t="str">
        <f>'[1]V, inciso o) (OP)'!H48</f>
        <v xml:space="preserve">Delgadillo </v>
      </c>
      <c r="L86" s="7" t="str">
        <f>'[1]V, inciso o) (OP)'!I48</f>
        <v>Alcazar</v>
      </c>
      <c r="M86" s="6" t="s">
        <v>2979</v>
      </c>
      <c r="N86" s="7" t="str">
        <f>'[1]V, inciso o) (OP)'!K48</f>
        <v>APE111122MI0</v>
      </c>
      <c r="O86" s="11">
        <f t="shared" si="2"/>
        <v>1472628.4000000001</v>
      </c>
      <c r="P86" s="11">
        <v>1381638.2179999999</v>
      </c>
      <c r="Q86" s="7" t="s">
        <v>396</v>
      </c>
      <c r="R86" s="11">
        <f>O86/4700</f>
        <v>313.32519148936171</v>
      </c>
      <c r="S86" s="7" t="s">
        <v>119</v>
      </c>
      <c r="T86" s="12">
        <v>122345</v>
      </c>
      <c r="U86" s="13" t="s">
        <v>42</v>
      </c>
      <c r="V86" s="7" t="s">
        <v>43</v>
      </c>
      <c r="W86" s="10">
        <f>'[1]V, inciso o) (OP)'!AD48</f>
        <v>42522</v>
      </c>
      <c r="X86" s="10">
        <f>'[1]V, inciso o) (OP)'!AE48</f>
        <v>42566</v>
      </c>
      <c r="Y86" s="7" t="s">
        <v>180</v>
      </c>
      <c r="Z86" s="7" t="s">
        <v>181</v>
      </c>
      <c r="AA86" s="7" t="s">
        <v>89</v>
      </c>
      <c r="AB86" s="21" t="s">
        <v>1378</v>
      </c>
      <c r="AC86" s="6" t="s">
        <v>2438</v>
      </c>
      <c r="AD86" s="6"/>
    </row>
    <row r="87" spans="1:30" ht="69.95" customHeight="1">
      <c r="A87" s="34">
        <v>75</v>
      </c>
      <c r="B87" s="7">
        <v>2016</v>
      </c>
      <c r="C87" s="6" t="s">
        <v>62</v>
      </c>
      <c r="D87" s="6" t="str">
        <f>'[1]V, inciso o) (OP)'!C49</f>
        <v>DOPI-MUN-R33FORTA-OC-AD-075-2016</v>
      </c>
      <c r="E87" s="10">
        <f>'[1]V, inciso o) (OP)'!V49</f>
        <v>42521</v>
      </c>
      <c r="F87" s="6" t="str">
        <f>'[1]V, inciso o) (OP)'!AA49</f>
        <v>Desazolve y limpieza en el canal Santa Catalina en el tramo de Av. Patria a Av. Mariano Otero, municipio de Zapopan, Jalisco.</v>
      </c>
      <c r="G87" s="6" t="s">
        <v>3308</v>
      </c>
      <c r="H87" s="39">
        <v>1386929.62</v>
      </c>
      <c r="I87" s="6" t="s">
        <v>2518</v>
      </c>
      <c r="J87" s="6" t="str">
        <f>'[1]V, inciso o) (OP)'!G49</f>
        <v>Sergio Alberto</v>
      </c>
      <c r="K87" s="7" t="str">
        <f>'[1]V, inciso o) (OP)'!H49</f>
        <v>Baylon</v>
      </c>
      <c r="L87" s="7" t="str">
        <f>'[1]V, inciso o) (OP)'!I49</f>
        <v>Moreno</v>
      </c>
      <c r="M87" s="6" t="s">
        <v>2980</v>
      </c>
      <c r="N87" s="7" t="str">
        <f>'[1]V, inciso o) (OP)'!K49</f>
        <v>EEC9909173A7</v>
      </c>
      <c r="O87" s="11">
        <f t="shared" si="2"/>
        <v>1386929.62</v>
      </c>
      <c r="P87" s="11">
        <v>1386928.82</v>
      </c>
      <c r="Q87" s="7" t="s">
        <v>397</v>
      </c>
      <c r="R87" s="11">
        <f>O87/30700</f>
        <v>45.176860586319222</v>
      </c>
      <c r="S87" s="7" t="s">
        <v>119</v>
      </c>
      <c r="T87" s="12">
        <v>164322</v>
      </c>
      <c r="U87" s="13" t="s">
        <v>42</v>
      </c>
      <c r="V87" s="7" t="s">
        <v>43</v>
      </c>
      <c r="W87" s="10">
        <f>'[1]V, inciso o) (OP)'!AD49</f>
        <v>42522</v>
      </c>
      <c r="X87" s="10">
        <f>'[1]V, inciso o) (OP)'!AE49</f>
        <v>42566</v>
      </c>
      <c r="Y87" s="7" t="s">
        <v>190</v>
      </c>
      <c r="Z87" s="7" t="s">
        <v>191</v>
      </c>
      <c r="AA87" s="7" t="s">
        <v>192</v>
      </c>
      <c r="AB87" s="21" t="s">
        <v>1379</v>
      </c>
      <c r="AC87" s="6" t="s">
        <v>2438</v>
      </c>
      <c r="AD87" s="6"/>
    </row>
    <row r="88" spans="1:30" ht="69.95" customHeight="1">
      <c r="A88" s="34">
        <v>76</v>
      </c>
      <c r="B88" s="7">
        <v>2016</v>
      </c>
      <c r="C88" s="6" t="s">
        <v>62</v>
      </c>
      <c r="D88" s="6" t="str">
        <f>'[1]V, inciso o) (OP)'!C50</f>
        <v>DOPI-MUN-R33FORTA-OC-AD-076-2016</v>
      </c>
      <c r="E88" s="10">
        <f>'[1]V, inciso o) (OP)'!V50</f>
        <v>42523</v>
      </c>
      <c r="F88" s="32" t="str">
        <f>'[1]V, inciso o) (OP)'!AA50</f>
        <v>Reparación de muros de contención de mamposteria, demolición de elementos estructurales de concreto armado, construcción y rectificación de plantilla y de muro de mamposteria, rehabilitación y colocación de malla ciclonica de protección perimetral, construcción de puente peatonal metalico, limpieza y desazolve en el canal pluvial Villas Perisur, en la Colonia El Briseño; Construcción de muro de concreto reforzado divisorio de carriles para corregir escurrimientos superficiales para mitigar inundación en retorno deprimido en Periférico Póniente y Mariano Otero, Municipio de Zapopan, Jalisco.</v>
      </c>
      <c r="G88" s="6" t="s">
        <v>3308</v>
      </c>
      <c r="H88" s="39">
        <v>1414800.1500000001</v>
      </c>
      <c r="I88" s="6" t="s">
        <v>2519</v>
      </c>
      <c r="J88" s="6" t="str">
        <f>'[1]V, inciso o) (OP)'!G50</f>
        <v xml:space="preserve">Guillermo Alberto </v>
      </c>
      <c r="K88" s="7" t="str">
        <f>'[1]V, inciso o) (OP)'!H50</f>
        <v>Rodríguez</v>
      </c>
      <c r="L88" s="7" t="str">
        <f>'[1]V, inciso o) (OP)'!I50</f>
        <v>Allende</v>
      </c>
      <c r="M88" s="6" t="s">
        <v>2981</v>
      </c>
      <c r="N88" s="7" t="str">
        <f>'[1]V, inciso o) (OP)'!K50</f>
        <v>GCM121112J86</v>
      </c>
      <c r="O88" s="11">
        <f t="shared" si="2"/>
        <v>1414800.1500000001</v>
      </c>
      <c r="P88" s="11">
        <v>1390957.65</v>
      </c>
      <c r="Q88" s="7" t="s">
        <v>398</v>
      </c>
      <c r="R88" s="11">
        <f>O88/2495</f>
        <v>567.05416833667346</v>
      </c>
      <c r="S88" s="7" t="s">
        <v>119</v>
      </c>
      <c r="T88" s="12">
        <v>264114</v>
      </c>
      <c r="U88" s="13" t="s">
        <v>42</v>
      </c>
      <c r="V88" s="7" t="s">
        <v>43</v>
      </c>
      <c r="W88" s="10">
        <f>'[1]V, inciso o) (OP)'!AD50</f>
        <v>42524</v>
      </c>
      <c r="X88" s="10">
        <f>'[1]V, inciso o) (OP)'!AE50</f>
        <v>42573</v>
      </c>
      <c r="Y88" s="7" t="str">
        <f>Y86</f>
        <v xml:space="preserve">Carlos Gerardo </v>
      </c>
      <c r="Z88" s="7" t="str">
        <f>Z86</f>
        <v xml:space="preserve">Peña </v>
      </c>
      <c r="AA88" s="7" t="str">
        <f>AA86</f>
        <v>Ortega</v>
      </c>
      <c r="AB88" s="21" t="s">
        <v>1412</v>
      </c>
      <c r="AC88" s="6" t="s">
        <v>2438</v>
      </c>
      <c r="AD88" s="6"/>
    </row>
    <row r="89" spans="1:30" ht="69.95" customHeight="1">
      <c r="A89" s="34">
        <v>77</v>
      </c>
      <c r="B89" s="7">
        <v>2016</v>
      </c>
      <c r="C89" s="6" t="s">
        <v>62</v>
      </c>
      <c r="D89" s="6" t="str">
        <f>'[1]V, inciso o) (OP)'!C51</f>
        <v>DOPI-MUN-R33FORTA-PROY-AD-077-2016</v>
      </c>
      <c r="E89" s="10">
        <f>'[1]V, inciso o) (OP)'!V51</f>
        <v>42530</v>
      </c>
      <c r="F89" s="32" t="str">
        <f>'[1]V, inciso o) (OP)'!AA51</f>
        <v>Proyecto ejecutivo para la construcción de las unidades deportivas Santa María del Pueblito ubicada en calle Independencia S/N colonia Santa María del Pueblito; Santa Margarita ubicada en calle Santa Matilde S/N colonia Santa Margarita; Miguel de la Madrid ubicada en calle López Portillo S/N colonia Miguel de la Madrid; y Villas de Guadalupe ubicada en calle Febronio Lara esquina María Perfecta Llamas S/N colonia Villas de Guadalupe, Municipio de Zapopan, Jalisco.</v>
      </c>
      <c r="G89" s="6" t="s">
        <v>3308</v>
      </c>
      <c r="H89" s="39">
        <v>1495650.3600000003</v>
      </c>
      <c r="I89" s="6" t="s">
        <v>2520</v>
      </c>
      <c r="J89" s="6" t="str">
        <f>'[1]V, inciso o) (OP)'!G51</f>
        <v>David</v>
      </c>
      <c r="K89" s="7" t="str">
        <f>'[1]V, inciso o) (OP)'!H51</f>
        <v>Ledesma</v>
      </c>
      <c r="L89" s="7" t="str">
        <f>'[1]V, inciso o) (OP)'!I51</f>
        <v>Martin del Campo</v>
      </c>
      <c r="M89" s="6" t="s">
        <v>2982</v>
      </c>
      <c r="N89" s="7" t="str">
        <f>'[1]V, inciso o) (OP)'!K51</f>
        <v>LEMD880217U53</v>
      </c>
      <c r="O89" s="11">
        <f t="shared" si="2"/>
        <v>1495650.3600000003</v>
      </c>
      <c r="P89" s="11">
        <v>1495650.3599999999</v>
      </c>
      <c r="Q89" s="7" t="s">
        <v>120</v>
      </c>
      <c r="R89" s="11" t="s">
        <v>120</v>
      </c>
      <c r="S89" s="7" t="s">
        <v>121</v>
      </c>
      <c r="T89" s="12" t="s">
        <v>121</v>
      </c>
      <c r="U89" s="13" t="s">
        <v>42</v>
      </c>
      <c r="V89" s="7" t="s">
        <v>43</v>
      </c>
      <c r="W89" s="10">
        <f>'[1]V, inciso o) (OP)'!AD51</f>
        <v>42531</v>
      </c>
      <c r="X89" s="10">
        <f>'[1]V, inciso o) (OP)'!AE51</f>
        <v>42643</v>
      </c>
      <c r="Y89" s="7" t="s">
        <v>309</v>
      </c>
      <c r="Z89" s="7" t="s">
        <v>310</v>
      </c>
      <c r="AA89" s="7" t="s">
        <v>311</v>
      </c>
      <c r="AB89" s="21" t="s">
        <v>1380</v>
      </c>
      <c r="AC89" s="6" t="s">
        <v>2438</v>
      </c>
      <c r="AD89" s="6"/>
    </row>
    <row r="90" spans="1:30" ht="69.95" customHeight="1">
      <c r="A90" s="34">
        <v>78</v>
      </c>
      <c r="B90" s="7">
        <v>2016</v>
      </c>
      <c r="C90" s="6" t="s">
        <v>62</v>
      </c>
      <c r="D90" s="6" t="str">
        <f>'[1]V, inciso o) (OP)'!C52</f>
        <v>DOPI-MUN-RM-IM-AD-078-2016</v>
      </c>
      <c r="E90" s="10">
        <f>'[1]V, inciso o) (OP)'!V52</f>
        <v>42545</v>
      </c>
      <c r="F90" s="32" t="str">
        <f>'[1]V, inciso o) (OP)'!AA52</f>
        <v>Construcción de estacionamiento con pavimento asfáltico y sello tipo Slurry Seal, guarniciones, banquetas, adecuaciones a la instalación eléctrica y aire acondicionado en el archivo histórico de Zapopan, Municipio de Zapopan, Jalisco.</v>
      </c>
      <c r="G90" s="6" t="s">
        <v>3308</v>
      </c>
      <c r="H90" s="39">
        <v>1598479.88</v>
      </c>
      <c r="I90" s="6" t="s">
        <v>399</v>
      </c>
      <c r="J90" s="6" t="str">
        <f>'[1]V, inciso o) (OP)'!G52</f>
        <v>J. Gerardo</v>
      </c>
      <c r="K90" s="7" t="str">
        <f>'[1]V, inciso o) (OP)'!H52</f>
        <v>Nicanor</v>
      </c>
      <c r="L90" s="7" t="str">
        <f>'[1]V, inciso o) (OP)'!I52</f>
        <v>Mejia Mariscal</v>
      </c>
      <c r="M90" s="6" t="s">
        <v>2983</v>
      </c>
      <c r="N90" s="7" t="str">
        <f>'[1]V, inciso o) (OP)'!K52</f>
        <v>ICO980722M04</v>
      </c>
      <c r="O90" s="11">
        <f t="shared" si="2"/>
        <v>1598479.88</v>
      </c>
      <c r="P90" s="11">
        <v>1496015.04</v>
      </c>
      <c r="Q90" s="7" t="s">
        <v>400</v>
      </c>
      <c r="R90" s="11">
        <f>O90/812</f>
        <v>1968.5712807881771</v>
      </c>
      <c r="S90" s="7" t="s">
        <v>41</v>
      </c>
      <c r="T90" s="12">
        <v>134</v>
      </c>
      <c r="U90" s="13" t="s">
        <v>42</v>
      </c>
      <c r="V90" s="7" t="s">
        <v>43</v>
      </c>
      <c r="W90" s="10">
        <f>'[1]V, inciso o) (OP)'!AD52</f>
        <v>42548</v>
      </c>
      <c r="X90" s="10">
        <f>'[1]V, inciso o) (OP)'!AE52</f>
        <v>42607</v>
      </c>
      <c r="Y90" s="7" t="s">
        <v>383</v>
      </c>
      <c r="Z90" s="7" t="s">
        <v>384</v>
      </c>
      <c r="AA90" s="7" t="s">
        <v>385</v>
      </c>
      <c r="AB90" s="21" t="s">
        <v>1381</v>
      </c>
      <c r="AC90" s="6" t="s">
        <v>2438</v>
      </c>
      <c r="AD90" s="6"/>
    </row>
    <row r="91" spans="1:30" ht="69.95" customHeight="1">
      <c r="A91" s="34">
        <v>79</v>
      </c>
      <c r="B91" s="7">
        <v>2016</v>
      </c>
      <c r="C91" s="6" t="s">
        <v>62</v>
      </c>
      <c r="D91" s="6" t="str">
        <f>'[1]V, inciso o) (OP)'!C53</f>
        <v>DOPI-MUN-RM-PROY-AD-079-2016</v>
      </c>
      <c r="E91" s="10">
        <f>'[1]V, inciso o) (OP)'!V53</f>
        <v>42545</v>
      </c>
      <c r="F91" s="6" t="str">
        <f>'[1]V, inciso o) (OP)'!AA53</f>
        <v>Proyecto ejecutivo para la construcción de la celda 5 en el relleno sanitario Picachos, Municipio de Zapopan, Jalisco.</v>
      </c>
      <c r="G91" s="6" t="s">
        <v>3308</v>
      </c>
      <c r="H91" s="39">
        <v>1115518.2</v>
      </c>
      <c r="I91" s="6" t="s">
        <v>725</v>
      </c>
      <c r="J91" s="6" t="str">
        <f>'[1]V, inciso o) (OP)'!G53</f>
        <v>Juan Ramón</v>
      </c>
      <c r="K91" s="7" t="str">
        <f>'[1]V, inciso o) (OP)'!H53</f>
        <v>Ramírez</v>
      </c>
      <c r="L91" s="7" t="str">
        <f>'[1]V, inciso o) (OP)'!I53</f>
        <v>Alatorre</v>
      </c>
      <c r="M91" s="6" t="s">
        <v>2984</v>
      </c>
      <c r="N91" s="7" t="str">
        <f>'[1]V, inciso o) (OP)'!K53</f>
        <v>QGE080213988</v>
      </c>
      <c r="O91" s="11">
        <f t="shared" si="2"/>
        <v>1115518.2</v>
      </c>
      <c r="P91" s="11">
        <v>797155.02</v>
      </c>
      <c r="Q91" s="7" t="s">
        <v>120</v>
      </c>
      <c r="R91" s="11" t="s">
        <v>120</v>
      </c>
      <c r="S91" s="7" t="s">
        <v>121</v>
      </c>
      <c r="T91" s="12" t="s">
        <v>121</v>
      </c>
      <c r="U91" s="13" t="s">
        <v>42</v>
      </c>
      <c r="V91" s="7" t="s">
        <v>43</v>
      </c>
      <c r="W91" s="10">
        <f>'[1]V, inciso o) (OP)'!AD53</f>
        <v>42548</v>
      </c>
      <c r="X91" s="10">
        <f>'[1]V, inciso o) (OP)'!AE53</f>
        <v>42592</v>
      </c>
      <c r="Y91" s="7" t="s">
        <v>401</v>
      </c>
      <c r="Z91" s="7" t="s">
        <v>310</v>
      </c>
      <c r="AA91" s="7" t="s">
        <v>311</v>
      </c>
      <c r="AB91" s="21" t="s">
        <v>1382</v>
      </c>
      <c r="AC91" s="6" t="s">
        <v>2438</v>
      </c>
      <c r="AD91" s="6"/>
    </row>
    <row r="92" spans="1:30" ht="69.95" customHeight="1">
      <c r="A92" s="34">
        <v>80</v>
      </c>
      <c r="B92" s="7">
        <v>2016</v>
      </c>
      <c r="C92" s="6" t="s">
        <v>62</v>
      </c>
      <c r="D92" s="6" t="str">
        <f>'[1]V, inciso o) (OP)'!C54</f>
        <v>DOPI-MUN-RM-MOV-AD-080-2016</v>
      </c>
      <c r="E92" s="10">
        <f>'[1]V, inciso o) (OP)'!V54</f>
        <v>42552</v>
      </c>
      <c r="F92" s="6" t="str">
        <f>'[1]V, inciso o) (OP)'!AA54</f>
        <v>Señalización vertical y horizontal en diferentes obras del municipio de Zapopan, Jalisco, frente 1.</v>
      </c>
      <c r="G92" s="6" t="s">
        <v>3308</v>
      </c>
      <c r="H92" s="39">
        <v>1250236.98</v>
      </c>
      <c r="I92" s="6" t="s">
        <v>1317</v>
      </c>
      <c r="J92" s="6" t="str">
        <f>'[1]V, inciso o) (OP)'!G54</f>
        <v>Jorge Alberto</v>
      </c>
      <c r="K92" s="7" t="str">
        <f>'[1]V, inciso o) (OP)'!H54</f>
        <v>Mena</v>
      </c>
      <c r="L92" s="7" t="str">
        <f>'[1]V, inciso o) (OP)'!I54</f>
        <v>Adames</v>
      </c>
      <c r="M92" s="6" t="s">
        <v>2985</v>
      </c>
      <c r="N92" s="7" t="str">
        <f>'[1]V, inciso o) (OP)'!K54</f>
        <v>DIV010905510</v>
      </c>
      <c r="O92" s="11">
        <f t="shared" si="2"/>
        <v>1250236.98</v>
      </c>
      <c r="P92" s="11">
        <v>1174977.01</v>
      </c>
      <c r="Q92" s="7" t="s">
        <v>120</v>
      </c>
      <c r="R92" s="11" t="s">
        <v>120</v>
      </c>
      <c r="S92" s="7" t="s">
        <v>41</v>
      </c>
      <c r="T92" s="12">
        <v>333068</v>
      </c>
      <c r="U92" s="13" t="s">
        <v>42</v>
      </c>
      <c r="V92" s="7" t="s">
        <v>43</v>
      </c>
      <c r="W92" s="10">
        <f>'[1]V, inciso o) (OP)'!AD54</f>
        <v>42555</v>
      </c>
      <c r="X92" s="10">
        <f>'[1]V, inciso o) (OP)'!AE54</f>
        <v>42724</v>
      </c>
      <c r="Y92" s="7" t="s">
        <v>402</v>
      </c>
      <c r="Z92" s="7" t="s">
        <v>403</v>
      </c>
      <c r="AA92" s="7" t="s">
        <v>104</v>
      </c>
      <c r="AB92" s="21" t="s">
        <v>1383</v>
      </c>
      <c r="AC92" s="6" t="s">
        <v>2438</v>
      </c>
      <c r="AD92" s="6"/>
    </row>
    <row r="93" spans="1:30" ht="69.95" customHeight="1">
      <c r="A93" s="34">
        <v>81</v>
      </c>
      <c r="B93" s="7">
        <v>2016</v>
      </c>
      <c r="C93" s="6" t="s">
        <v>62</v>
      </c>
      <c r="D93" s="6" t="str">
        <f>'[1]V, inciso o) (OP)'!C55</f>
        <v>DOPI-MUN-RM-PAV-AD-081-2016</v>
      </c>
      <c r="E93" s="10">
        <f>'[1]V, inciso o) (OP)'!V55</f>
        <v>42552</v>
      </c>
      <c r="F93" s="32" t="str">
        <f>'[1]V, inciso o) (OP)'!AA55</f>
        <v>Construcción de pavimento de concreto hidráulico MR45, machuelos, banquetas e instalaciones hidráulicas en la calle Canal del Andador a la calle General Arteaga de la calle General Arteaga, de la calle Canal a la calle Agustín Rivera, colonia el Batán, municipio de Zapopan, Jalisco.</v>
      </c>
      <c r="G93" s="6" t="s">
        <v>3308</v>
      </c>
      <c r="H93" s="39">
        <v>1475028.6100000003</v>
      </c>
      <c r="I93" s="6" t="s">
        <v>404</v>
      </c>
      <c r="J93" s="6" t="str">
        <f>'[1]V, inciso o) (OP)'!G55</f>
        <v>Miguel</v>
      </c>
      <c r="K93" s="7" t="str">
        <f>'[1]V, inciso o) (OP)'!H55</f>
        <v>Rodríguez</v>
      </c>
      <c r="L93" s="7" t="str">
        <f>'[1]V, inciso o) (OP)'!I55</f>
        <v>Rosas</v>
      </c>
      <c r="M93" s="6" t="s">
        <v>2986</v>
      </c>
      <c r="N93" s="7" t="str">
        <f>'[1]V, inciso o) (OP)'!K55</f>
        <v>SCO0102137E1</v>
      </c>
      <c r="O93" s="11">
        <f t="shared" si="2"/>
        <v>1475028.6100000003</v>
      </c>
      <c r="P93" s="11">
        <v>1266125.6299999999</v>
      </c>
      <c r="Q93" s="7" t="s">
        <v>405</v>
      </c>
      <c r="R93" s="11">
        <f>O93/768</f>
        <v>1920.6101692708337</v>
      </c>
      <c r="S93" s="7" t="s">
        <v>41</v>
      </c>
      <c r="T93" s="12">
        <v>1929</v>
      </c>
      <c r="U93" s="13" t="s">
        <v>42</v>
      </c>
      <c r="V93" s="7" t="s">
        <v>43</v>
      </c>
      <c r="W93" s="10">
        <f>'[1]V, inciso o) (OP)'!AD55</f>
        <v>42555</v>
      </c>
      <c r="X93" s="10">
        <f>'[1]V, inciso o) (OP)'!AE55</f>
        <v>42613</v>
      </c>
      <c r="Y93" s="7" t="s">
        <v>317</v>
      </c>
      <c r="Z93" s="7" t="s">
        <v>191</v>
      </c>
      <c r="AA93" s="7" t="s">
        <v>192</v>
      </c>
      <c r="AB93" s="21" t="s">
        <v>1384</v>
      </c>
      <c r="AC93" s="6" t="s">
        <v>2438</v>
      </c>
      <c r="AD93" s="6"/>
    </row>
    <row r="94" spans="1:30" ht="69.95" customHeight="1">
      <c r="A94" s="34">
        <v>82</v>
      </c>
      <c r="B94" s="7">
        <v>2016</v>
      </c>
      <c r="C94" s="6" t="s">
        <v>62</v>
      </c>
      <c r="D94" s="6" t="str">
        <f>'[1]V, inciso o) (OP)'!C56</f>
        <v>DOPI-MUN-RM-PAV-AD-082-2016</v>
      </c>
      <c r="E94" s="10">
        <f>'[1]V, inciso o) (OP)'!V56</f>
        <v>42555</v>
      </c>
      <c r="F94" s="32" t="str">
        <f>'[1]V, inciso o) (OP)'!AA56</f>
        <v>Construcción de pavimento de concreto hidráulico MR45, adecuaciones de pavimentos asfálticos, adecuaciones pluviales, corrección vial, muros de contención, banquetas, corrección de flujos viales y paso seguro de peatones, en el paso a desnivel aéreo y subterráneo de Juan Palomar y Arias y Periférico Poniente; y Construcción de banquetas en la calle Guillermo González Camarena y Av. Paseo Valle Real, municipio de Zapopan, Jalisco.</v>
      </c>
      <c r="G94" s="6" t="s">
        <v>3308</v>
      </c>
      <c r="H94" s="39">
        <v>1497852.13</v>
      </c>
      <c r="I94" s="6" t="s">
        <v>406</v>
      </c>
      <c r="J94" s="6" t="str">
        <f>'[1]V, inciso o) (OP)'!G56</f>
        <v xml:space="preserve">José Luis </v>
      </c>
      <c r="K94" s="7" t="str">
        <f>'[1]V, inciso o) (OP)'!H56</f>
        <v xml:space="preserve">Castillo </v>
      </c>
      <c r="L94" s="7" t="str">
        <f>'[1]V, inciso o) (OP)'!I56</f>
        <v>Rodríguez</v>
      </c>
      <c r="M94" s="6" t="s">
        <v>2987</v>
      </c>
      <c r="N94" s="7" t="str">
        <f>'[1]V, inciso o) (OP)'!K56</f>
        <v>FCO9911092V5</v>
      </c>
      <c r="O94" s="11">
        <f t="shared" si="2"/>
        <v>1497852.13</v>
      </c>
      <c r="P94" s="11">
        <v>1303068.2</v>
      </c>
      <c r="Q94" s="7" t="s">
        <v>407</v>
      </c>
      <c r="R94" s="11">
        <f>O94/925</f>
        <v>1619.2995999999998</v>
      </c>
      <c r="S94" s="7" t="s">
        <v>41</v>
      </c>
      <c r="T94" s="12">
        <v>98751</v>
      </c>
      <c r="U94" s="13" t="s">
        <v>42</v>
      </c>
      <c r="V94" s="7" t="s">
        <v>43</v>
      </c>
      <c r="W94" s="10">
        <f>'[1]V, inciso o) (OP)'!AD56</f>
        <v>42556</v>
      </c>
      <c r="X94" s="10">
        <f>'[1]V, inciso o) (OP)'!AE56</f>
        <v>42585</v>
      </c>
      <c r="Y94" s="7" t="s">
        <v>317</v>
      </c>
      <c r="Z94" s="7" t="s">
        <v>191</v>
      </c>
      <c r="AA94" s="7" t="s">
        <v>192</v>
      </c>
      <c r="AB94" s="21" t="s">
        <v>1385</v>
      </c>
      <c r="AC94" s="6" t="s">
        <v>2438</v>
      </c>
      <c r="AD94" s="6"/>
    </row>
    <row r="95" spans="1:30" ht="69.95" customHeight="1">
      <c r="A95" s="34">
        <v>83</v>
      </c>
      <c r="B95" s="7">
        <v>2016</v>
      </c>
      <c r="C95" s="6" t="s">
        <v>62</v>
      </c>
      <c r="D95" s="6" t="str">
        <f>'[1]V, inciso o) (OP)'!C57</f>
        <v>DOPI-MUN-RM-OC-AD-083-2016</v>
      </c>
      <c r="E95" s="10">
        <f>'[1]V, inciso o) (OP)'!V57</f>
        <v>42555</v>
      </c>
      <c r="F95" s="6" t="str">
        <f>'[1]V, inciso o) (OP)'!AA57</f>
        <v>Corrección de canal pluvial, construcción de mamposteos, zampeados, puente peatonal, accesos y aproches en el cruce del arroyo ubicado en la colonia Las Higueras, municipio de Zapopan, Jalisco.</v>
      </c>
      <c r="G95" s="6" t="s">
        <v>3308</v>
      </c>
      <c r="H95" s="39">
        <v>1394254.6600000001</v>
      </c>
      <c r="I95" s="6" t="s">
        <v>408</v>
      </c>
      <c r="J95" s="6" t="str">
        <f>'[1]V, inciso o) (OP)'!G57</f>
        <v>José Gilberto</v>
      </c>
      <c r="K95" s="7" t="str">
        <f>'[1]V, inciso o) (OP)'!H57</f>
        <v>Luján</v>
      </c>
      <c r="L95" s="7" t="str">
        <f>'[1]V, inciso o) (OP)'!I57</f>
        <v>Barajas</v>
      </c>
      <c r="M95" s="6" t="s">
        <v>2988</v>
      </c>
      <c r="N95" s="7" t="str">
        <f>'[1]V, inciso o) (OP)'!K57</f>
        <v>GIN1202272F9</v>
      </c>
      <c r="O95" s="11">
        <f t="shared" ref="O95:O126" si="3">H95</f>
        <v>1394254.6600000001</v>
      </c>
      <c r="P95" s="11">
        <v>1243445.57</v>
      </c>
      <c r="Q95" s="7" t="s">
        <v>409</v>
      </c>
      <c r="R95" s="11">
        <f>O95/5324</f>
        <v>261.88104057099929</v>
      </c>
      <c r="S95" s="7" t="s">
        <v>41</v>
      </c>
      <c r="T95" s="12">
        <v>3061</v>
      </c>
      <c r="U95" s="13" t="s">
        <v>42</v>
      </c>
      <c r="V95" s="7" t="s">
        <v>43</v>
      </c>
      <c r="W95" s="10">
        <f>'[1]V, inciso o) (OP)'!AD57</f>
        <v>42556</v>
      </c>
      <c r="X95" s="10">
        <f>'[1]V, inciso o) (OP)'!AE57</f>
        <v>42615</v>
      </c>
      <c r="Y95" s="7" t="s">
        <v>394</v>
      </c>
      <c r="Z95" s="7" t="s">
        <v>279</v>
      </c>
      <c r="AA95" s="7" t="s">
        <v>78</v>
      </c>
      <c r="AB95" s="21" t="s">
        <v>1413</v>
      </c>
      <c r="AC95" s="6" t="s">
        <v>2438</v>
      </c>
      <c r="AD95" s="6"/>
    </row>
    <row r="96" spans="1:30" ht="69.95" customHeight="1">
      <c r="A96" s="34">
        <v>84</v>
      </c>
      <c r="B96" s="7">
        <v>2016</v>
      </c>
      <c r="C96" s="6" t="s">
        <v>31</v>
      </c>
      <c r="D96" s="6" t="str">
        <f>'[1]V, inciso p) (OP)'!D46</f>
        <v>DOPI-FED-R23-PAV-LP-084-2016</v>
      </c>
      <c r="E96" s="10">
        <f>'[1]V, inciso p) (OP)'!AD46</f>
        <v>42656</v>
      </c>
      <c r="F96" s="6" t="str">
        <f>'[1]V, inciso p) (OP)'!I46</f>
        <v>Reencarpetamiento de la Av. Obreros de Cananea, municipio de Zapopan, Jalisco.</v>
      </c>
      <c r="G96" s="6" t="s">
        <v>3309</v>
      </c>
      <c r="H96" s="39">
        <v>10926057.380000001</v>
      </c>
      <c r="I96" s="6" t="str">
        <f>'[1]V, inciso p) (OP)'!AS46</f>
        <v>Colonia El Paraiso</v>
      </c>
      <c r="J96" s="6" t="str">
        <f>'[1]V, inciso p) (OP)'!T46</f>
        <v>Salvador</v>
      </c>
      <c r="K96" s="7" t="str">
        <f>'[1]V, inciso p) (OP)'!U46</f>
        <v>Meza</v>
      </c>
      <c r="L96" s="7" t="str">
        <f>'[1]V, inciso p) (OP)'!V46</f>
        <v>López</v>
      </c>
      <c r="M96" s="6" t="s">
        <v>2989</v>
      </c>
      <c r="N96" s="7" t="str">
        <f>'[1]V, inciso p) (OP)'!X46</f>
        <v>CCO780607JD6</v>
      </c>
      <c r="O96" s="11">
        <f t="shared" si="3"/>
        <v>10926057.380000001</v>
      </c>
      <c r="P96" s="11">
        <v>10857778.460000001</v>
      </c>
      <c r="Q96" s="7" t="s">
        <v>410</v>
      </c>
      <c r="R96" s="11">
        <f>O96/28562</f>
        <v>382.53824592115399</v>
      </c>
      <c r="S96" s="7" t="s">
        <v>41</v>
      </c>
      <c r="T96" s="12">
        <v>4325</v>
      </c>
      <c r="U96" s="13" t="s">
        <v>42</v>
      </c>
      <c r="V96" s="7" t="s">
        <v>43</v>
      </c>
      <c r="W96" s="10">
        <f>'[1]V, inciso p) (OP)'!AM46</f>
        <v>42656</v>
      </c>
      <c r="X96" s="10">
        <f>'[1]V, inciso p) (OP)'!AN46</f>
        <v>42722</v>
      </c>
      <c r="Y96" s="7" t="s">
        <v>411</v>
      </c>
      <c r="Z96" s="7" t="s">
        <v>412</v>
      </c>
      <c r="AA96" s="7" t="s">
        <v>413</v>
      </c>
      <c r="AB96" s="21" t="s">
        <v>2774</v>
      </c>
      <c r="AC96" s="6" t="s">
        <v>2438</v>
      </c>
      <c r="AD96" s="6"/>
    </row>
    <row r="97" spans="1:30" ht="69.95" customHeight="1">
      <c r="A97" s="34">
        <v>85</v>
      </c>
      <c r="B97" s="7">
        <v>2016</v>
      </c>
      <c r="C97" s="6" t="s">
        <v>31</v>
      </c>
      <c r="D97" s="6" t="str">
        <f>'[1]V, inciso p) (OP)'!D47</f>
        <v>DOPI-FED-R23-PAV-LP-085-2016</v>
      </c>
      <c r="E97" s="10">
        <f>'[1]V, inciso p) (OP)'!AD47</f>
        <v>42656</v>
      </c>
      <c r="F97" s="6" t="str">
        <f>'[1]V, inciso p) (OP)'!I47</f>
        <v>Reencarpetamiento de la Calle Industria, municipio de Zapopan, Jalisco.</v>
      </c>
      <c r="G97" s="6" t="s">
        <v>3310</v>
      </c>
      <c r="H97" s="39">
        <v>4684308.1899999995</v>
      </c>
      <c r="I97" s="6" t="str">
        <f>'[1]V, inciso p) (OP)'!AS47</f>
        <v>Colonia El Paraiso</v>
      </c>
      <c r="J97" s="6" t="str">
        <f>'[1]V, inciso p) (OP)'!T47</f>
        <v>Ernesto</v>
      </c>
      <c r="K97" s="7" t="str">
        <f>'[1]V, inciso p) (OP)'!U47</f>
        <v>Zamora</v>
      </c>
      <c r="L97" s="7" t="str">
        <f>'[1]V, inciso p) (OP)'!V47</f>
        <v>Corona</v>
      </c>
      <c r="M97" s="6" t="s">
        <v>2990</v>
      </c>
      <c r="N97" s="7" t="str">
        <f>'[1]V, inciso p) (OP)'!X47</f>
        <v>KIC040617JIA</v>
      </c>
      <c r="O97" s="11">
        <f t="shared" si="3"/>
        <v>4684308.1899999995</v>
      </c>
      <c r="P97" s="11">
        <v>4684308.1899999995</v>
      </c>
      <c r="Q97" s="7" t="s">
        <v>414</v>
      </c>
      <c r="R97" s="11">
        <f>O97/22150</f>
        <v>211.4811823927765</v>
      </c>
      <c r="S97" s="7" t="s">
        <v>41</v>
      </c>
      <c r="T97" s="12">
        <v>4365</v>
      </c>
      <c r="U97" s="13" t="s">
        <v>42</v>
      </c>
      <c r="V97" s="7" t="s">
        <v>43</v>
      </c>
      <c r="W97" s="10">
        <f>'[1]V, inciso p) (OP)'!AM47</f>
        <v>42656</v>
      </c>
      <c r="X97" s="10">
        <f>'[1]V, inciso p) (OP)'!AN47</f>
        <v>42722</v>
      </c>
      <c r="Y97" s="7" t="s">
        <v>411</v>
      </c>
      <c r="Z97" s="7" t="s">
        <v>412</v>
      </c>
      <c r="AA97" s="7" t="s">
        <v>413</v>
      </c>
      <c r="AB97" s="21" t="s">
        <v>1414</v>
      </c>
      <c r="AC97" s="6" t="s">
        <v>2438</v>
      </c>
      <c r="AD97" s="6"/>
    </row>
    <row r="98" spans="1:30" ht="69.95" customHeight="1">
      <c r="A98" s="34">
        <v>86</v>
      </c>
      <c r="B98" s="7">
        <v>2016</v>
      </c>
      <c r="C98" s="6" t="s">
        <v>31</v>
      </c>
      <c r="D98" s="6" t="str">
        <f>'[1]V, inciso p) (OP)'!D48</f>
        <v>DOPI-FED-R23-PAV-LP-086-2016</v>
      </c>
      <c r="E98" s="10">
        <f>'[1]V, inciso p) (OP)'!AD48</f>
        <v>42656</v>
      </c>
      <c r="F98" s="6" t="str">
        <f>'[1]V, inciso p) (OP)'!I48</f>
        <v>Reencarpetamiento de la Calle Epigmenio Preciado, municipio de Zapopan, Jalisco.</v>
      </c>
      <c r="G98" s="6" t="s">
        <v>3310</v>
      </c>
      <c r="H98" s="39">
        <v>4474343.4799999995</v>
      </c>
      <c r="I98" s="6" t="str">
        <f>'[1]V, inciso p) (OP)'!AS48</f>
        <v>Colonia El Paraiso</v>
      </c>
      <c r="J98" s="6" t="str">
        <f>'[1]V, inciso p) (OP)'!T48</f>
        <v>Ignacio Javier</v>
      </c>
      <c r="K98" s="7" t="str">
        <f>'[1]V, inciso p) (OP)'!U48</f>
        <v>Curiel</v>
      </c>
      <c r="L98" s="7" t="str">
        <f>'[1]V, inciso p) (OP)'!V48</f>
        <v>Dueñas</v>
      </c>
      <c r="M98" s="6" t="s">
        <v>248</v>
      </c>
      <c r="N98" s="7" t="str">
        <f>'[1]V, inciso p) (OP)'!X48</f>
        <v>TCM100915HA1</v>
      </c>
      <c r="O98" s="11">
        <f t="shared" si="3"/>
        <v>4474343.4799999995</v>
      </c>
      <c r="P98" s="11">
        <v>4474343.4800000004</v>
      </c>
      <c r="Q98" s="7" t="s">
        <v>415</v>
      </c>
      <c r="R98" s="11">
        <f>O98/10640</f>
        <v>420.52100375939847</v>
      </c>
      <c r="S98" s="7" t="s">
        <v>41</v>
      </c>
      <c r="T98" s="12">
        <v>4220</v>
      </c>
      <c r="U98" s="13" t="s">
        <v>42</v>
      </c>
      <c r="V98" s="7" t="s">
        <v>43</v>
      </c>
      <c r="W98" s="10">
        <f>'[1]V, inciso p) (OP)'!AM48</f>
        <v>42656</v>
      </c>
      <c r="X98" s="10">
        <f>'[1]V, inciso p) (OP)'!AN48</f>
        <v>42722</v>
      </c>
      <c r="Y98" s="7" t="s">
        <v>411</v>
      </c>
      <c r="Z98" s="7" t="s">
        <v>412</v>
      </c>
      <c r="AA98" s="7" t="s">
        <v>413</v>
      </c>
      <c r="AB98" s="21" t="s">
        <v>1415</v>
      </c>
      <c r="AC98" s="6" t="s">
        <v>2438</v>
      </c>
      <c r="AD98" s="6"/>
    </row>
    <row r="99" spans="1:30" ht="69.95" customHeight="1">
      <c r="A99" s="34">
        <v>87</v>
      </c>
      <c r="B99" s="7">
        <v>2016</v>
      </c>
      <c r="C99" s="6" t="s">
        <v>31</v>
      </c>
      <c r="D99" s="6" t="str">
        <f>'[1]V, inciso p) (OP)'!D49</f>
        <v>DOPI-FED-R23-PAV-LP-087-2016</v>
      </c>
      <c r="E99" s="10">
        <f>'[1]V, inciso p) (OP)'!AD49</f>
        <v>42656</v>
      </c>
      <c r="F99" s="6" t="str">
        <f>'[1]V, inciso p) (OP)'!I49</f>
        <v>Reencarpetamiento de la Av. Constituyentes, municipio de Zapopan, Jalisco.</v>
      </c>
      <c r="G99" s="6" t="s">
        <v>3310</v>
      </c>
      <c r="H99" s="39">
        <v>3159009.19</v>
      </c>
      <c r="I99" s="6" t="str">
        <f>'[1]V, inciso p) (OP)'!AS49</f>
        <v>Colonia Constitución</v>
      </c>
      <c r="J99" s="6" t="str">
        <f>'[1]V, inciso p) (OP)'!T49</f>
        <v>Ignacio Javier</v>
      </c>
      <c r="K99" s="7" t="str">
        <f>'[1]V, inciso p) (OP)'!U49</f>
        <v>Curiel</v>
      </c>
      <c r="L99" s="7" t="str">
        <f>'[1]V, inciso p) (OP)'!V49</f>
        <v>Dueñas</v>
      </c>
      <c r="M99" s="6" t="s">
        <v>248</v>
      </c>
      <c r="N99" s="7" t="str">
        <f>'[1]V, inciso p) (OP)'!X49</f>
        <v>TCM100915HA1</v>
      </c>
      <c r="O99" s="11">
        <f t="shared" si="3"/>
        <v>3159009.19</v>
      </c>
      <c r="P99" s="11">
        <v>3159009.19</v>
      </c>
      <c r="Q99" s="7" t="s">
        <v>416</v>
      </c>
      <c r="R99" s="11">
        <f>O99/7380</f>
        <v>428.05002574525747</v>
      </c>
      <c r="S99" s="7" t="s">
        <v>41</v>
      </c>
      <c r="T99" s="12">
        <v>8642</v>
      </c>
      <c r="U99" s="13" t="s">
        <v>42</v>
      </c>
      <c r="V99" s="7" t="s">
        <v>43</v>
      </c>
      <c r="W99" s="10">
        <f>'[1]V, inciso p) (OP)'!AM49</f>
        <v>42656</v>
      </c>
      <c r="X99" s="10">
        <f>'[1]V, inciso p) (OP)'!AN49</f>
        <v>42722</v>
      </c>
      <c r="Y99" s="7" t="s">
        <v>411</v>
      </c>
      <c r="Z99" s="7" t="s">
        <v>412</v>
      </c>
      <c r="AA99" s="7" t="s">
        <v>413</v>
      </c>
      <c r="AB99" s="21" t="s">
        <v>1416</v>
      </c>
      <c r="AC99" s="6" t="s">
        <v>2438</v>
      </c>
      <c r="AD99" s="6"/>
    </row>
    <row r="100" spans="1:30" ht="69.95" customHeight="1">
      <c r="A100" s="34">
        <v>88</v>
      </c>
      <c r="B100" s="7">
        <v>2016</v>
      </c>
      <c r="C100" s="6" t="s">
        <v>31</v>
      </c>
      <c r="D100" s="6" t="str">
        <f>'[1]V, inciso p) (OP)'!D50</f>
        <v>DOPI-FED-PR-PAV-LP-088-2016</v>
      </c>
      <c r="E100" s="10">
        <f>'[1]V, inciso p) (OP)'!AD50</f>
        <v>42656</v>
      </c>
      <c r="F100" s="32" t="str">
        <f>'[1]V, inciso p) (OP)'!I50</f>
        <v>Construcción de vialidad con concreto hidráulico calle Elote entre calle Indígena y calle Alberto Mora López, incluye: guarniciones, banquetas, red de agua potable, alcantarillado y alumbrado público, zona las Mesas, en el Municipio de Zapopan, Jalisco.</v>
      </c>
      <c r="G100" s="6" t="s">
        <v>3311</v>
      </c>
      <c r="H100" s="39">
        <v>1621192.93</v>
      </c>
      <c r="I100" s="6" t="str">
        <f>'[1]V, inciso p) (OP)'!AS50</f>
        <v>Zona de Las Mesas</v>
      </c>
      <c r="J100" s="6" t="str">
        <f>'[1]V, inciso p) (OP)'!T50</f>
        <v>Carlos Ignacio</v>
      </c>
      <c r="K100" s="7" t="str">
        <f>'[1]V, inciso p) (OP)'!U50</f>
        <v>Curiel</v>
      </c>
      <c r="L100" s="7" t="str">
        <f>'[1]V, inciso p) (OP)'!V50</f>
        <v>Dueñas</v>
      </c>
      <c r="M100" s="6" t="s">
        <v>2966</v>
      </c>
      <c r="N100" s="7" t="str">
        <f>'[1]V, inciso p) (OP)'!X50</f>
        <v>CCE130723IR7</v>
      </c>
      <c r="O100" s="11">
        <f t="shared" si="3"/>
        <v>1621192.93</v>
      </c>
      <c r="P100" s="11">
        <v>1621192.93</v>
      </c>
      <c r="Q100" s="7" t="s">
        <v>111</v>
      </c>
      <c r="R100" s="11">
        <f>O100/850</f>
        <v>1907.2857999999999</v>
      </c>
      <c r="S100" s="7" t="s">
        <v>41</v>
      </c>
      <c r="T100" s="12">
        <v>3612</v>
      </c>
      <c r="U100" s="13" t="s">
        <v>42</v>
      </c>
      <c r="V100" s="7" t="s">
        <v>43</v>
      </c>
      <c r="W100" s="10">
        <f>'[1]V, inciso p) (OP)'!AM50</f>
        <v>42656</v>
      </c>
      <c r="X100" s="10">
        <f>'[1]V, inciso p) (OP)'!AN50</f>
        <v>42722</v>
      </c>
      <c r="Y100" s="7" t="s">
        <v>345</v>
      </c>
      <c r="Z100" s="7" t="s">
        <v>346</v>
      </c>
      <c r="AA100" s="7" t="s">
        <v>347</v>
      </c>
      <c r="AB100" s="21" t="s">
        <v>1417</v>
      </c>
      <c r="AC100" s="6" t="s">
        <v>2438</v>
      </c>
      <c r="AD100" s="6"/>
    </row>
    <row r="101" spans="1:30" ht="69.95" customHeight="1">
      <c r="A101" s="34">
        <v>89</v>
      </c>
      <c r="B101" s="7">
        <v>2016</v>
      </c>
      <c r="C101" s="6" t="s">
        <v>31</v>
      </c>
      <c r="D101" s="6" t="str">
        <f>'[1]V, inciso p) (OP)'!D51</f>
        <v>DOPI-FED-PR-PAV-LP-089-2016</v>
      </c>
      <c r="E101" s="10">
        <f>'[1]V, inciso p) (OP)'!AD51</f>
        <v>42656</v>
      </c>
      <c r="F101" s="32" t="str">
        <f>'[1]V, inciso p) (OP)'!I51</f>
        <v>Construcción de vialidad con concreto hidráulico calle Michí desde la calle Cuatlicue a la calle Comitl, incluye: guarniciones, banquetas, red de agua potable, alcantarillado y alumbrado público, zona las Mesas, Municipio de Zapopan, Jalisco.</v>
      </c>
      <c r="G101" s="6" t="s">
        <v>3311</v>
      </c>
      <c r="H101" s="39">
        <v>1587734.6400000001</v>
      </c>
      <c r="I101" s="6" t="str">
        <f>'[1]V, inciso p) (OP)'!AS51</f>
        <v>Zona de Las Mesas</v>
      </c>
      <c r="J101" s="6" t="str">
        <f>'[1]V, inciso p) (OP)'!T51</f>
        <v>Carlos Ignacio</v>
      </c>
      <c r="K101" s="7" t="str">
        <f>'[1]V, inciso p) (OP)'!U51</f>
        <v>Curiel</v>
      </c>
      <c r="L101" s="7" t="str">
        <f>'[1]V, inciso p) (OP)'!V51</f>
        <v>Dueñas</v>
      </c>
      <c r="M101" s="6" t="s">
        <v>2966</v>
      </c>
      <c r="N101" s="7" t="str">
        <f>'[1]V, inciso p) (OP)'!X51</f>
        <v>CCE130723IR7</v>
      </c>
      <c r="O101" s="11">
        <f t="shared" si="3"/>
        <v>1587734.6400000001</v>
      </c>
      <c r="P101" s="11">
        <v>1587734.6400000001</v>
      </c>
      <c r="Q101" s="7" t="s">
        <v>417</v>
      </c>
      <c r="R101" s="11">
        <f>O101/840</f>
        <v>1890.1602857142859</v>
      </c>
      <c r="S101" s="7" t="s">
        <v>41</v>
      </c>
      <c r="T101" s="12">
        <v>2351</v>
      </c>
      <c r="U101" s="13" t="s">
        <v>42</v>
      </c>
      <c r="V101" s="7" t="s">
        <v>43</v>
      </c>
      <c r="W101" s="10">
        <f>'[1]V, inciso p) (OP)'!AM51</f>
        <v>42657</v>
      </c>
      <c r="X101" s="10">
        <f>'[1]V, inciso p) (OP)'!AN51</f>
        <v>42723</v>
      </c>
      <c r="Y101" s="7" t="s">
        <v>345</v>
      </c>
      <c r="Z101" s="7" t="s">
        <v>346</v>
      </c>
      <c r="AA101" s="7" t="s">
        <v>347</v>
      </c>
      <c r="AB101" s="21" t="s">
        <v>2819</v>
      </c>
      <c r="AC101" s="6" t="s">
        <v>2438</v>
      </c>
      <c r="AD101" s="6"/>
    </row>
    <row r="102" spans="1:30" ht="69.95" customHeight="1">
      <c r="A102" s="34">
        <v>90</v>
      </c>
      <c r="B102" s="7">
        <v>2016</v>
      </c>
      <c r="C102" s="6" t="s">
        <v>31</v>
      </c>
      <c r="D102" s="6" t="str">
        <f>'[1]V, inciso p) (OP)'!D52</f>
        <v>DOPI-FED-PR-PAV-LP-090-2016</v>
      </c>
      <c r="E102" s="10">
        <f>'[1]V, inciso p) (OP)'!AD52</f>
        <v>42656</v>
      </c>
      <c r="F102" s="32" t="str">
        <f>'[1]V, inciso p) (OP)'!I52</f>
        <v>Construcción de vialidad con concreto hidráulico calle Cuatlicue desde la calle Ozomatlí a la calle Michí, incluye: guarniciones, banquetas, red de agua potable, alcantarillado y alumbrado público, zona las Mesas, Municipio de Zapopan, Jalisco.</v>
      </c>
      <c r="G102" s="6" t="s">
        <v>3311</v>
      </c>
      <c r="H102" s="39">
        <v>1504875.62</v>
      </c>
      <c r="I102" s="6" t="str">
        <f>'[1]V, inciso p) (OP)'!AS52</f>
        <v>Zona de Las Mesas</v>
      </c>
      <c r="J102" s="6" t="str">
        <f>'[1]V, inciso p) (OP)'!T52</f>
        <v>José Omar</v>
      </c>
      <c r="K102" s="7" t="str">
        <f>'[1]V, inciso p) (OP)'!U52</f>
        <v>Fernández</v>
      </c>
      <c r="L102" s="7" t="str">
        <f>'[1]V, inciso p) (OP)'!V52</f>
        <v>Vázquez</v>
      </c>
      <c r="M102" s="6" t="s">
        <v>2991</v>
      </c>
      <c r="N102" s="7" t="str">
        <f>'[1]V, inciso p) (OP)'!X52</f>
        <v>ECO0908115Z7</v>
      </c>
      <c r="O102" s="11">
        <f t="shared" si="3"/>
        <v>1504875.62</v>
      </c>
      <c r="P102" s="11">
        <v>872134.26</v>
      </c>
      <c r="Q102" s="7" t="s">
        <v>417</v>
      </c>
      <c r="R102" s="11">
        <f>O102/840</f>
        <v>1791.5185952380953</v>
      </c>
      <c r="S102" s="7" t="s">
        <v>41</v>
      </c>
      <c r="T102" s="12">
        <v>2622</v>
      </c>
      <c r="U102" s="13" t="s">
        <v>42</v>
      </c>
      <c r="V102" s="7" t="s">
        <v>43</v>
      </c>
      <c r="W102" s="10">
        <f>'[1]V, inciso p) (OP)'!AM52</f>
        <v>42656</v>
      </c>
      <c r="X102" s="10">
        <f>'[1]V, inciso p) (OP)'!AN52</f>
        <v>42722</v>
      </c>
      <c r="Y102" s="7" t="s">
        <v>345</v>
      </c>
      <c r="Z102" s="7" t="s">
        <v>346</v>
      </c>
      <c r="AA102" s="7" t="s">
        <v>347</v>
      </c>
      <c r="AB102" s="21" t="s">
        <v>1418</v>
      </c>
      <c r="AC102" s="6" t="s">
        <v>2438</v>
      </c>
      <c r="AD102" s="6"/>
    </row>
    <row r="103" spans="1:30" ht="69.95" customHeight="1">
      <c r="A103" s="34">
        <v>91</v>
      </c>
      <c r="B103" s="7">
        <v>2016</v>
      </c>
      <c r="C103" s="6" t="s">
        <v>31</v>
      </c>
      <c r="D103" s="6" t="str">
        <f>'[1]V, inciso p) (OP)'!D53</f>
        <v>DOPI-FED-PR-PAV-LP-091-2016</v>
      </c>
      <c r="E103" s="10">
        <f>'[1]V, inciso p) (OP)'!AD53</f>
        <v>42656</v>
      </c>
      <c r="F103" s="32" t="str">
        <f>'[1]V, inciso p) (OP)'!I53</f>
        <v>Construcción de vialidad con concreto hidráulico calle Comitl desde la calle Dellí a la calle Michí, incluye: guarniciones, banquetas, red de agua potable, alcantarillado y alumbrado público, zona las Mesas, Municipio de Zapopan, Jalisco.</v>
      </c>
      <c r="G103" s="6" t="s">
        <v>3311</v>
      </c>
      <c r="H103" s="39">
        <v>7765571.71</v>
      </c>
      <c r="I103" s="6" t="str">
        <f>'[1]V, inciso p) (OP)'!AS53</f>
        <v>Zona de Las Mesas</v>
      </c>
      <c r="J103" s="6" t="str">
        <f>'[1]V, inciso p) (OP)'!T53</f>
        <v>Sergio Alberto</v>
      </c>
      <c r="K103" s="7" t="str">
        <f>'[1]V, inciso p) (OP)'!U53</f>
        <v>Baylon</v>
      </c>
      <c r="L103" s="7" t="str">
        <f>'[1]V, inciso p) (OP)'!V53</f>
        <v>Moreno</v>
      </c>
      <c r="M103" s="6" t="s">
        <v>2980</v>
      </c>
      <c r="N103" s="7" t="str">
        <f>'[1]V, inciso p) (OP)'!X53</f>
        <v>EEC9909173A7</v>
      </c>
      <c r="O103" s="11">
        <f t="shared" si="3"/>
        <v>7765571.71</v>
      </c>
      <c r="P103" s="11">
        <v>7765571.7200000007</v>
      </c>
      <c r="Q103" s="7" t="s">
        <v>418</v>
      </c>
      <c r="R103" s="11">
        <f>O103/4015</f>
        <v>1934.1399028642591</v>
      </c>
      <c r="S103" s="7" t="s">
        <v>41</v>
      </c>
      <c r="T103" s="12">
        <v>2453</v>
      </c>
      <c r="U103" s="13" t="s">
        <v>42</v>
      </c>
      <c r="V103" s="7" t="s">
        <v>43</v>
      </c>
      <c r="W103" s="10">
        <f>'[1]V, inciso p) (OP)'!AM53</f>
        <v>42657</v>
      </c>
      <c r="X103" s="10">
        <f>'[1]V, inciso p) (OP)'!AN53</f>
        <v>42723</v>
      </c>
      <c r="Y103" s="7" t="s">
        <v>345</v>
      </c>
      <c r="Z103" s="7" t="s">
        <v>346</v>
      </c>
      <c r="AA103" s="7" t="s">
        <v>347</v>
      </c>
      <c r="AB103" s="21" t="s">
        <v>1419</v>
      </c>
      <c r="AC103" s="6" t="s">
        <v>2438</v>
      </c>
      <c r="AD103" s="6"/>
    </row>
    <row r="104" spans="1:30" ht="69.95" customHeight="1">
      <c r="A104" s="34">
        <v>92</v>
      </c>
      <c r="B104" s="7">
        <v>2016</v>
      </c>
      <c r="C104" s="6" t="s">
        <v>31</v>
      </c>
      <c r="D104" s="6" t="str">
        <f>'[1]V, inciso p) (OP)'!D54</f>
        <v>DOPI-FED-PR-PAV-LP-092-2016</v>
      </c>
      <c r="E104" s="10">
        <f>'[1]V, inciso p) (OP)'!AD54</f>
        <v>42656</v>
      </c>
      <c r="F104" s="32" t="str">
        <f>'[1]V, inciso p) (OP)'!I54</f>
        <v>Construcción de vialidad con concreto hidráulico calle Eligio Delgado entre calle Tepatl a calle Indígena, incluye: guarniciones, banquetas, red de agua potable, alcantarillado y alumbrado público, zona las Mesas, Municipio de Zapopan, Jalisco.</v>
      </c>
      <c r="G104" s="6" t="s">
        <v>3311</v>
      </c>
      <c r="H104" s="39">
        <v>3070604.74</v>
      </c>
      <c r="I104" s="6" t="str">
        <f>'[1]V, inciso p) (OP)'!AS54</f>
        <v>Zona de Las Mesas</v>
      </c>
      <c r="J104" s="6" t="str">
        <f>'[1]V, inciso p) (OP)'!T54</f>
        <v>Bernardo</v>
      </c>
      <c r="K104" s="7" t="str">
        <f>'[1]V, inciso p) (OP)'!U54</f>
        <v>Saenz</v>
      </c>
      <c r="L104" s="7" t="str">
        <f>'[1]V, inciso p) (OP)'!V54</f>
        <v>Barba</v>
      </c>
      <c r="M104" s="6" t="s">
        <v>2992</v>
      </c>
      <c r="N104" s="7" t="str">
        <f>'[1]V, inciso p) (OP)'!X54</f>
        <v>GEM070112PX8</v>
      </c>
      <c r="O104" s="11">
        <f t="shared" si="3"/>
        <v>3070604.74</v>
      </c>
      <c r="P104" s="11">
        <v>3070604.74</v>
      </c>
      <c r="Q104" s="7" t="s">
        <v>419</v>
      </c>
      <c r="R104" s="11">
        <f>O104/1885</f>
        <v>1628.9680318302389</v>
      </c>
      <c r="S104" s="7" t="s">
        <v>41</v>
      </c>
      <c r="T104" s="12">
        <v>2728</v>
      </c>
      <c r="U104" s="13" t="s">
        <v>42</v>
      </c>
      <c r="V104" s="7" t="s">
        <v>43</v>
      </c>
      <c r="W104" s="10">
        <f>'[1]V, inciso p) (OP)'!AM54</f>
        <v>42657</v>
      </c>
      <c r="X104" s="10">
        <f>'[1]V, inciso p) (OP)'!AN54</f>
        <v>42723</v>
      </c>
      <c r="Y104" s="7" t="s">
        <v>345</v>
      </c>
      <c r="Z104" s="7" t="s">
        <v>346</v>
      </c>
      <c r="AA104" s="7" t="s">
        <v>347</v>
      </c>
      <c r="AB104" s="21" t="s">
        <v>2820</v>
      </c>
      <c r="AC104" s="6" t="s">
        <v>2438</v>
      </c>
      <c r="AD104" s="6"/>
    </row>
    <row r="105" spans="1:30" ht="69.95" customHeight="1">
      <c r="A105" s="34">
        <v>93</v>
      </c>
      <c r="B105" s="7">
        <v>2016</v>
      </c>
      <c r="C105" s="6" t="s">
        <v>31</v>
      </c>
      <c r="D105" s="6" t="str">
        <f>'[1]V, inciso p) (OP)'!D55</f>
        <v>DOPI-FED-PR-PAV-LP-093-2016</v>
      </c>
      <c r="E105" s="10">
        <f>'[1]V, inciso p) (OP)'!AD55</f>
        <v>42656</v>
      </c>
      <c r="F105" s="32" t="str">
        <f>'[1]V, inciso p) (OP)'!I55</f>
        <v>Construcción de vialidad con concreto hidráulico calle Ozomatlí desde la calle Cholollan a la calle Lenteja, incluye: guarniciones, banquetas, red de agua potable, alcantarillado y alumbrado público, zona las Mesas, Municipio de Zapopan, Jalisco.</v>
      </c>
      <c r="G105" s="6" t="s">
        <v>3311</v>
      </c>
      <c r="H105" s="39">
        <v>5663734.8300000001</v>
      </c>
      <c r="I105" s="6" t="str">
        <f>'[1]V, inciso p) (OP)'!AS55</f>
        <v>Zona de Las Mesas</v>
      </c>
      <c r="J105" s="6" t="str">
        <f>'[1]V, inciso p) (OP)'!T55</f>
        <v>Ignacio Javier</v>
      </c>
      <c r="K105" s="7" t="str">
        <f>'[1]V, inciso p) (OP)'!U55</f>
        <v>Curiel</v>
      </c>
      <c r="L105" s="7" t="str">
        <f>'[1]V, inciso p) (OP)'!V55</f>
        <v>Dueñas</v>
      </c>
      <c r="M105" s="6" t="s">
        <v>248</v>
      </c>
      <c r="N105" s="7" t="str">
        <f>'[1]V, inciso p) (OP)'!X55</f>
        <v>TCM100915HA1</v>
      </c>
      <c r="O105" s="11">
        <f t="shared" si="3"/>
        <v>5663734.8300000001</v>
      </c>
      <c r="P105" s="11">
        <v>4853479.3899999997</v>
      </c>
      <c r="Q105" s="7" t="s">
        <v>420</v>
      </c>
      <c r="R105" s="11">
        <f>O105/3796</f>
        <v>1492.0270890410959</v>
      </c>
      <c r="S105" s="7" t="s">
        <v>41</v>
      </c>
      <c r="T105" s="12">
        <v>2612</v>
      </c>
      <c r="U105" s="13" t="s">
        <v>42</v>
      </c>
      <c r="V105" s="7" t="s">
        <v>43</v>
      </c>
      <c r="W105" s="10">
        <f>'[1]V, inciso p) (OP)'!AM55</f>
        <v>42657</v>
      </c>
      <c r="X105" s="10">
        <f>'[1]V, inciso p) (OP)'!AN55</f>
        <v>42723</v>
      </c>
      <c r="Y105" s="7" t="s">
        <v>345</v>
      </c>
      <c r="Z105" s="7" t="s">
        <v>346</v>
      </c>
      <c r="AA105" s="7" t="s">
        <v>347</v>
      </c>
      <c r="AB105" s="21" t="s">
        <v>1420</v>
      </c>
      <c r="AC105" s="6" t="s">
        <v>2438</v>
      </c>
      <c r="AD105" s="6"/>
    </row>
    <row r="106" spans="1:30" ht="69.95" customHeight="1">
      <c r="A106" s="34">
        <v>94</v>
      </c>
      <c r="B106" s="7">
        <v>2016</v>
      </c>
      <c r="C106" s="6" t="s">
        <v>31</v>
      </c>
      <c r="D106" s="6" t="str">
        <f>'[1]V, inciso p) (OP)'!D56</f>
        <v>DOPI-FED-PR-PAV-LP-094-2016</v>
      </c>
      <c r="E106" s="10">
        <f>'[1]V, inciso p) (OP)'!AD56</f>
        <v>42656</v>
      </c>
      <c r="F106" s="32" t="str">
        <f>'[1]V, inciso p) (OP)'!I56</f>
        <v>Construcción de vialidades con concreto hidráulico de las calles Cholollan y Paseo de los Membrillos entre las calles Chichenitza y Paseo de los Cerezos, incluye: puente vehicular de aproximadamente 30 metros de longitud para cruzar arroyo, guarniciones, banquetas, red de agua potable, alcantarillado y alumbrado publico.</v>
      </c>
      <c r="G106" s="6" t="s">
        <v>3312</v>
      </c>
      <c r="H106" s="39">
        <v>9145513.7300000004</v>
      </c>
      <c r="I106" s="6" t="str">
        <f>'[1]V, inciso p) (OP)'!AS56</f>
        <v>Mesa Colorada</v>
      </c>
      <c r="J106" s="6" t="str">
        <f>'[1]V, inciso p) (OP)'!T56</f>
        <v>J. Gerardo</v>
      </c>
      <c r="K106" s="7" t="str">
        <f>'[1]V, inciso p) (OP)'!U56</f>
        <v>Nicanor</v>
      </c>
      <c r="L106" s="7" t="str">
        <f>'[1]V, inciso p) (OP)'!V56</f>
        <v>Mejia Mariscal</v>
      </c>
      <c r="M106" s="6" t="s">
        <v>2983</v>
      </c>
      <c r="N106" s="7" t="str">
        <f>'[1]V, inciso p) (OP)'!X56</f>
        <v>ICO980722M04</v>
      </c>
      <c r="O106" s="11">
        <f t="shared" si="3"/>
        <v>9145513.7300000004</v>
      </c>
      <c r="P106" s="11">
        <v>9145513.6899999995</v>
      </c>
      <c r="Q106" s="7" t="s">
        <v>421</v>
      </c>
      <c r="R106" s="11">
        <f>O106/4847</f>
        <v>1886.840051578296</v>
      </c>
      <c r="S106" s="7" t="s">
        <v>41</v>
      </c>
      <c r="T106" s="12">
        <v>4325</v>
      </c>
      <c r="U106" s="13" t="s">
        <v>42</v>
      </c>
      <c r="V106" s="7" t="s">
        <v>43</v>
      </c>
      <c r="W106" s="10">
        <f>'[1]V, inciso p) (OP)'!AM56</f>
        <v>42657</v>
      </c>
      <c r="X106" s="10">
        <f>'[1]V, inciso p) (OP)'!AN56</f>
        <v>42723</v>
      </c>
      <c r="Y106" s="7" t="s">
        <v>345</v>
      </c>
      <c r="Z106" s="7" t="s">
        <v>346</v>
      </c>
      <c r="AA106" s="7" t="s">
        <v>347</v>
      </c>
      <c r="AB106" s="21" t="s">
        <v>1421</v>
      </c>
      <c r="AC106" s="6" t="s">
        <v>2438</v>
      </c>
      <c r="AD106" s="6"/>
    </row>
    <row r="107" spans="1:30" ht="69.95" customHeight="1">
      <c r="A107" s="34">
        <v>95</v>
      </c>
      <c r="B107" s="7">
        <v>2016</v>
      </c>
      <c r="C107" s="6" t="s">
        <v>31</v>
      </c>
      <c r="D107" s="6" t="str">
        <f>'[1]V, inciso p) (OP)'!D57</f>
        <v>DOPI-FED-PR-PAV-LP-095-2016</v>
      </c>
      <c r="E107" s="10">
        <f>'[1]V, inciso p) (OP)'!AD57</f>
        <v>42656</v>
      </c>
      <c r="F107" s="32" t="str">
        <f>'[1]V, inciso p) (OP)'!I57</f>
        <v>Reencarpetamiento de la Av. Santa Margarita, en la colonia Santa Margarita, incluye: guarniciones, banquetas, renivelación de pozos y cajas, señalamiento vertical y horizontal, Municipio de Zapopan, Jalisco, frente 1.</v>
      </c>
      <c r="G107" s="6" t="s">
        <v>3313</v>
      </c>
      <c r="H107" s="39">
        <v>6978791.2300000004</v>
      </c>
      <c r="I107" s="6" t="str">
        <f>'[1]V, inciso p) (OP)'!AS57</f>
        <v>Colonia Santa Margarita</v>
      </c>
      <c r="J107" s="6" t="str">
        <f>'[1]V, inciso p) (OP)'!T57</f>
        <v>Víctor Manuel</v>
      </c>
      <c r="K107" s="7" t="str">
        <f>'[1]V, inciso p) (OP)'!U57</f>
        <v>Jauregui</v>
      </c>
      <c r="L107" s="7" t="str">
        <f>'[1]V, inciso p) (OP)'!V57</f>
        <v>Torres</v>
      </c>
      <c r="M107" s="6" t="s">
        <v>2993</v>
      </c>
      <c r="N107" s="7" t="str">
        <f>'[1]V, inciso p) (OP)'!X57</f>
        <v>CEA070208SB1</v>
      </c>
      <c r="O107" s="11">
        <f t="shared" si="3"/>
        <v>6978791.2300000004</v>
      </c>
      <c r="P107" s="11">
        <v>6978791.2200000007</v>
      </c>
      <c r="Q107" s="7" t="s">
        <v>422</v>
      </c>
      <c r="R107" s="11">
        <f>O107/11696</f>
        <v>596.68187670998634</v>
      </c>
      <c r="S107" s="7" t="s">
        <v>41</v>
      </c>
      <c r="T107" s="12">
        <v>52846</v>
      </c>
      <c r="U107" s="13" t="s">
        <v>42</v>
      </c>
      <c r="V107" s="7" t="s">
        <v>43</v>
      </c>
      <c r="W107" s="10">
        <f>'[1]V, inciso p) (OP)'!AM57</f>
        <v>42657</v>
      </c>
      <c r="X107" s="10">
        <f>'[1]V, inciso p) (OP)'!AN57</f>
        <v>42732</v>
      </c>
      <c r="Y107" s="7" t="s">
        <v>360</v>
      </c>
      <c r="Z107" s="7" t="s">
        <v>361</v>
      </c>
      <c r="AA107" s="7" t="s">
        <v>362</v>
      </c>
      <c r="AB107" s="21" t="s">
        <v>2821</v>
      </c>
      <c r="AC107" s="6" t="s">
        <v>2438</v>
      </c>
      <c r="AD107" s="6"/>
    </row>
    <row r="108" spans="1:30" ht="69.95" customHeight="1">
      <c r="A108" s="34">
        <v>96</v>
      </c>
      <c r="B108" s="7">
        <v>2016</v>
      </c>
      <c r="C108" s="6" t="s">
        <v>31</v>
      </c>
      <c r="D108" s="6" t="str">
        <f>'[1]V, inciso p) (OP)'!D58</f>
        <v>DOPI-FED-PR-PAV-LP-096-2016</v>
      </c>
      <c r="E108" s="10">
        <f>'[1]V, inciso p) (OP)'!AD58</f>
        <v>42656</v>
      </c>
      <c r="F108" s="32" t="str">
        <f>'[1]V, inciso p) (OP)'!I58</f>
        <v>Reencarpetamiento de la Av. Santa Margarita, en la colonia Santa Margarita, incluye: guarniciones, banquetas, renivelación de pozos y cajas, señalamiento vertical y horizontal, Municipio de Zapopan, Jalisco, frente 2.</v>
      </c>
      <c r="G108" s="6" t="s">
        <v>3313</v>
      </c>
      <c r="H108" s="39">
        <v>10200785.260000002</v>
      </c>
      <c r="I108" s="6" t="str">
        <f>'[1]V, inciso p) (OP)'!AS58</f>
        <v>Colonia Santa Margarita</v>
      </c>
      <c r="J108" s="6" t="str">
        <f>'[1]V, inciso p) (OP)'!T58</f>
        <v>Víctor Manuel</v>
      </c>
      <c r="K108" s="7" t="str">
        <f>'[1]V, inciso p) (OP)'!U58</f>
        <v>Jauregui</v>
      </c>
      <c r="L108" s="7" t="str">
        <f>'[1]V, inciso p) (OP)'!V58</f>
        <v>Torres</v>
      </c>
      <c r="M108" s="6" t="s">
        <v>2993</v>
      </c>
      <c r="N108" s="7" t="str">
        <f>'[1]V, inciso p) (OP)'!X58</f>
        <v>CEA070208SB1</v>
      </c>
      <c r="O108" s="11">
        <f t="shared" si="3"/>
        <v>10200785.260000002</v>
      </c>
      <c r="P108" s="11">
        <v>10200785.260000002</v>
      </c>
      <c r="Q108" s="7" t="s">
        <v>423</v>
      </c>
      <c r="R108" s="11">
        <f>O108/14923</f>
        <v>683.56129866648803</v>
      </c>
      <c r="S108" s="7" t="s">
        <v>41</v>
      </c>
      <c r="T108" s="12">
        <v>52846</v>
      </c>
      <c r="U108" s="13" t="s">
        <v>42</v>
      </c>
      <c r="V108" s="7" t="s">
        <v>43</v>
      </c>
      <c r="W108" s="10">
        <f>'[1]V, inciso p) (OP)'!AM58</f>
        <v>42657</v>
      </c>
      <c r="X108" s="10">
        <f>'[1]V, inciso p) (OP)'!AN58</f>
        <v>42732</v>
      </c>
      <c r="Y108" s="7" t="s">
        <v>360</v>
      </c>
      <c r="Z108" s="7" t="s">
        <v>361</v>
      </c>
      <c r="AA108" s="7" t="s">
        <v>362</v>
      </c>
      <c r="AB108" s="21" t="s">
        <v>1422</v>
      </c>
      <c r="AC108" s="6" t="s">
        <v>2438</v>
      </c>
      <c r="AD108" s="6"/>
    </row>
    <row r="109" spans="1:30" ht="69.95" customHeight="1">
      <c r="A109" s="34">
        <v>97</v>
      </c>
      <c r="B109" s="7">
        <v>2016</v>
      </c>
      <c r="C109" s="6" t="s">
        <v>31</v>
      </c>
      <c r="D109" s="6" t="str">
        <f>'[1]V, inciso p) (OP)'!D59</f>
        <v>DOPI-FED-PR-PAV-LP-097-2016</v>
      </c>
      <c r="E109" s="10">
        <f>'[1]V, inciso p) (OP)'!AD59</f>
        <v>42656</v>
      </c>
      <c r="F109" s="32" t="str">
        <f>'[1]V, inciso p) (OP)'!I59</f>
        <v>Reencarpetamiento de la Av. Santa Margarita, en la colonia Santa Margarita, incluye: guarniciones, banquetas, renivelación de pozos y cajas, señalamiento vertical y horizontal, Municipio de Zapopan, Jalisco, frente 3.</v>
      </c>
      <c r="G109" s="6" t="s">
        <v>3313</v>
      </c>
      <c r="H109" s="39">
        <v>7822343.5099999998</v>
      </c>
      <c r="I109" s="6" t="str">
        <f>'[1]V, inciso p) (OP)'!AS59</f>
        <v>Colonia Santa Margarita</v>
      </c>
      <c r="J109" s="6" t="str">
        <f>'[1]V, inciso p) (OP)'!T59</f>
        <v>Víctor Manuel</v>
      </c>
      <c r="K109" s="7" t="str">
        <f>'[1]V, inciso p) (OP)'!U59</f>
        <v>Jauregui</v>
      </c>
      <c r="L109" s="7" t="str">
        <f>'[1]V, inciso p) (OP)'!V59</f>
        <v>Torres</v>
      </c>
      <c r="M109" s="6" t="s">
        <v>2993</v>
      </c>
      <c r="N109" s="7" t="str">
        <f>'[1]V, inciso p) (OP)'!X59</f>
        <v>CEA070208SB1</v>
      </c>
      <c r="O109" s="11">
        <f t="shared" si="3"/>
        <v>7822343.5099999998</v>
      </c>
      <c r="P109" s="11">
        <v>7822343.5099999998</v>
      </c>
      <c r="Q109" s="7" t="s">
        <v>424</v>
      </c>
      <c r="R109" s="11">
        <f>O109/13168</f>
        <v>594.04188259416765</v>
      </c>
      <c r="S109" s="7" t="s">
        <v>41</v>
      </c>
      <c r="T109" s="12">
        <v>52846</v>
      </c>
      <c r="U109" s="13" t="s">
        <v>42</v>
      </c>
      <c r="V109" s="7" t="s">
        <v>43</v>
      </c>
      <c r="W109" s="10">
        <f>'[1]V, inciso p) (OP)'!AM59</f>
        <v>42657</v>
      </c>
      <c r="X109" s="10">
        <f>'[1]V, inciso p) (OP)'!AN59</f>
        <v>42732</v>
      </c>
      <c r="Y109" s="7" t="s">
        <v>360</v>
      </c>
      <c r="Z109" s="7" t="s">
        <v>361</v>
      </c>
      <c r="AA109" s="7" t="s">
        <v>362</v>
      </c>
      <c r="AB109" s="21" t="s">
        <v>1423</v>
      </c>
      <c r="AC109" s="6" t="s">
        <v>2438</v>
      </c>
      <c r="AD109" s="6"/>
    </row>
    <row r="110" spans="1:30" ht="69.95" customHeight="1">
      <c r="A110" s="34">
        <v>98</v>
      </c>
      <c r="B110" s="7">
        <v>2016</v>
      </c>
      <c r="C110" s="6" t="s">
        <v>31</v>
      </c>
      <c r="D110" s="6" t="str">
        <f>'[1]V, inciso p) (OP)'!D60</f>
        <v>DOPI-FED-PR-PAV-LP-098-2016</v>
      </c>
      <c r="E110" s="10">
        <f>'[1]V, inciso p) (OP)'!AD60</f>
        <v>42685</v>
      </c>
      <c r="F110" s="32" t="str">
        <f>'[1]V, inciso p) (OP)'!I60</f>
        <v>Construcción de la vialidad con concreto hidráulico de la Av. Ramón Corona, incluye: guarniciones, banquetas, red de agua potable, alcantarillado, alumbrado público y forestación, Municipio de Zapopan, Jalisco, frente 1.</v>
      </c>
      <c r="G110" s="6" t="s">
        <v>3314</v>
      </c>
      <c r="H110" s="39">
        <v>13812825.030000001</v>
      </c>
      <c r="I110" s="6" t="str">
        <f>'[1]V, inciso p) (OP)'!AS60</f>
        <v>Colonia La Mojonera</v>
      </c>
      <c r="J110" s="6" t="str">
        <f>'[1]V, inciso p) (OP)'!T60</f>
        <v>J. Gerardo</v>
      </c>
      <c r="K110" s="7" t="str">
        <f>'[1]V, inciso p) (OP)'!U60</f>
        <v>Nicanor</v>
      </c>
      <c r="L110" s="7" t="str">
        <f>'[1]V, inciso p) (OP)'!V60</f>
        <v>Mejia Mariscal</v>
      </c>
      <c r="M110" s="6" t="s">
        <v>2983</v>
      </c>
      <c r="N110" s="7" t="str">
        <f>'[1]V, inciso p) (OP)'!X60</f>
        <v>ICO980722M04</v>
      </c>
      <c r="O110" s="11">
        <f t="shared" si="3"/>
        <v>13812825.030000001</v>
      </c>
      <c r="P110" s="11">
        <v>13812825.039999999</v>
      </c>
      <c r="Q110" s="7" t="s">
        <v>425</v>
      </c>
      <c r="R110" s="11">
        <f>O110/7750</f>
        <v>1782.3000038709679</v>
      </c>
      <c r="S110" s="7" t="s">
        <v>41</v>
      </c>
      <c r="T110" s="12">
        <v>5622</v>
      </c>
      <c r="U110" s="13" t="s">
        <v>42</v>
      </c>
      <c r="V110" s="7" t="s">
        <v>43</v>
      </c>
      <c r="W110" s="10">
        <f>'[1]V, inciso p) (OP)'!AM60</f>
        <v>42688</v>
      </c>
      <c r="X110" s="10">
        <f>'[1]V, inciso p) (OP)'!AN60</f>
        <v>42763</v>
      </c>
      <c r="Y110" s="7" t="s">
        <v>394</v>
      </c>
      <c r="Z110" s="7" t="s">
        <v>279</v>
      </c>
      <c r="AA110" s="7" t="s">
        <v>78</v>
      </c>
      <c r="AB110" s="21" t="s">
        <v>2775</v>
      </c>
      <c r="AC110" s="6" t="s">
        <v>2438</v>
      </c>
      <c r="AD110" s="6"/>
    </row>
    <row r="111" spans="1:30" ht="69.95" customHeight="1">
      <c r="A111" s="34">
        <v>99</v>
      </c>
      <c r="B111" s="7">
        <v>2016</v>
      </c>
      <c r="C111" s="6" t="s">
        <v>31</v>
      </c>
      <c r="D111" s="6" t="str">
        <f>'[1]V, inciso p) (OP)'!D61</f>
        <v>DOPI-FED-PR-PAV-LP-099-2016</v>
      </c>
      <c r="E111" s="10">
        <f>'[1]V, inciso p) (OP)'!AD61</f>
        <v>42685</v>
      </c>
      <c r="F111" s="32" t="str">
        <f>'[1]V, inciso p) (OP)'!I61</f>
        <v>Construcción de la vialidad con concreto hidráulico de la Av. Ramón Corona, incluye: guarniciones, banquetas, red de agua potable, alcantarillado, alumbrado público y forestación, Municipio de Zapopan, Jalisco, frente 2.</v>
      </c>
      <c r="G111" s="6" t="s">
        <v>3314</v>
      </c>
      <c r="H111" s="39">
        <v>11444478.68</v>
      </c>
      <c r="I111" s="6" t="str">
        <f>'[1]V, inciso p) (OP)'!AS61</f>
        <v>Colonia La Mojonera</v>
      </c>
      <c r="J111" s="6" t="str">
        <f>'[1]V, inciso p) (OP)'!T61</f>
        <v>Sergio Cesar</v>
      </c>
      <c r="K111" s="7" t="str">
        <f>'[1]V, inciso p) (OP)'!U61</f>
        <v>Diaz</v>
      </c>
      <c r="L111" s="7" t="str">
        <f>'[1]V, inciso p) (OP)'!V61</f>
        <v>Quiroz</v>
      </c>
      <c r="M111" s="6" t="s">
        <v>2972</v>
      </c>
      <c r="N111" s="7" t="str">
        <f>'[1]V, inciso p) (OP)'!X61</f>
        <v>GUN880613NY1</v>
      </c>
      <c r="O111" s="11">
        <f t="shared" si="3"/>
        <v>11444478.68</v>
      </c>
      <c r="P111" s="11">
        <v>11444478.6844</v>
      </c>
      <c r="Q111" s="7" t="s">
        <v>426</v>
      </c>
      <c r="R111" s="11">
        <f>O111/5500</f>
        <v>2080.8143054545453</v>
      </c>
      <c r="S111" s="7" t="s">
        <v>41</v>
      </c>
      <c r="T111" s="12">
        <v>5622</v>
      </c>
      <c r="U111" s="13" t="s">
        <v>42</v>
      </c>
      <c r="V111" s="7" t="s">
        <v>43</v>
      </c>
      <c r="W111" s="10">
        <f>'[1]V, inciso p) (OP)'!AM61</f>
        <v>42688</v>
      </c>
      <c r="X111" s="10">
        <f>'[1]V, inciso p) (OP)'!AN61</f>
        <v>42763</v>
      </c>
      <c r="Y111" s="7" t="s">
        <v>394</v>
      </c>
      <c r="Z111" s="7" t="s">
        <v>279</v>
      </c>
      <c r="AA111" s="7" t="s">
        <v>78</v>
      </c>
      <c r="AB111" s="21" t="s">
        <v>1424</v>
      </c>
      <c r="AC111" s="6" t="s">
        <v>2438</v>
      </c>
      <c r="AD111" s="6"/>
    </row>
    <row r="112" spans="1:30" ht="69.95" customHeight="1">
      <c r="A112" s="34">
        <v>100</v>
      </c>
      <c r="B112" s="7">
        <v>2016</v>
      </c>
      <c r="C112" s="6" t="s">
        <v>31</v>
      </c>
      <c r="D112" s="6" t="str">
        <f>'[1]V, inciso p) (OP)'!D62</f>
        <v>DOPI-FED-PR-PAV-LP-100-2016</v>
      </c>
      <c r="E112" s="10">
        <f>'[1]V, inciso p) (OP)'!AD62</f>
        <v>42685</v>
      </c>
      <c r="F112" s="32" t="str">
        <f>'[1]V, inciso p) (OP)'!I62</f>
        <v>Construcción de la vialidad con concreto hidráulico de la Av. Ramón Corona, incluye: guarniciones, banquetas, red de agua potable, alcantarillado, alumbrado público y forestación, Municipio de Zapopan, Jalisco, frente 3.</v>
      </c>
      <c r="G112" s="6" t="s">
        <v>3314</v>
      </c>
      <c r="H112" s="39">
        <v>7498376.2899999991</v>
      </c>
      <c r="I112" s="6" t="str">
        <f>'[1]V, inciso p) (OP)'!AS62</f>
        <v>Colonia La Mojonera</v>
      </c>
      <c r="J112" s="6" t="str">
        <f>'[1]V, inciso p) (OP)'!T62</f>
        <v>Sergio Cesar</v>
      </c>
      <c r="K112" s="7" t="str">
        <f>'[1]V, inciso p) (OP)'!U62</f>
        <v>Diaz</v>
      </c>
      <c r="L112" s="7" t="str">
        <f>'[1]V, inciso p) (OP)'!V62</f>
        <v>Quiroz</v>
      </c>
      <c r="M112" s="6" t="s">
        <v>2972</v>
      </c>
      <c r="N112" s="7" t="str">
        <f>'[1]V, inciso p) (OP)'!X62</f>
        <v>GUN880613NY1</v>
      </c>
      <c r="O112" s="11">
        <f t="shared" si="3"/>
        <v>7498376.2899999991</v>
      </c>
      <c r="P112" s="11">
        <v>7498376.2799999993</v>
      </c>
      <c r="Q112" s="7" t="s">
        <v>427</v>
      </c>
      <c r="R112" s="11">
        <f>O112/3802.5</f>
        <v>1971.9595765943457</v>
      </c>
      <c r="S112" s="7" t="s">
        <v>41</v>
      </c>
      <c r="T112" s="12">
        <v>5622</v>
      </c>
      <c r="U112" s="13" t="s">
        <v>42</v>
      </c>
      <c r="V112" s="7" t="s">
        <v>43</v>
      </c>
      <c r="W112" s="10">
        <f>'[1]V, inciso p) (OP)'!AM62</f>
        <v>42688</v>
      </c>
      <c r="X112" s="10">
        <f>'[1]V, inciso p) (OP)'!AN62</f>
        <v>42763</v>
      </c>
      <c r="Y112" s="7" t="s">
        <v>394</v>
      </c>
      <c r="Z112" s="7" t="s">
        <v>279</v>
      </c>
      <c r="AA112" s="7" t="s">
        <v>78</v>
      </c>
      <c r="AB112" s="21" t="s">
        <v>1425</v>
      </c>
      <c r="AC112" s="6" t="s">
        <v>2438</v>
      </c>
      <c r="AD112" s="6"/>
    </row>
    <row r="113" spans="1:30" ht="69.95" customHeight="1">
      <c r="A113" s="34">
        <v>101</v>
      </c>
      <c r="B113" s="7">
        <v>2016</v>
      </c>
      <c r="C113" s="6" t="s">
        <v>31</v>
      </c>
      <c r="D113" s="6" t="str">
        <f>'[1]V, inciso p) (OP)'!D63</f>
        <v>DOPI-FED-PR-PAV-LP-101-2016</v>
      </c>
      <c r="E113" s="10">
        <f>'[1]V, inciso p) (OP)'!AD63</f>
        <v>42685</v>
      </c>
      <c r="F113" s="6" t="str">
        <f>'[1]V, inciso p) (OP)'!I63</f>
        <v>Construcción de Centro de Desarrollo Infantil La Loma, Municipio de Zapopan, Jalisco.</v>
      </c>
      <c r="G113" s="6" t="s">
        <v>3313</v>
      </c>
      <c r="H113" s="39">
        <v>17394240.84</v>
      </c>
      <c r="I113" s="6" t="str">
        <f>'[1]V, inciso p) (OP)'!AS63</f>
        <v>Colonia La Loma</v>
      </c>
      <c r="J113" s="6" t="str">
        <f>'[1]V, inciso p) (OP)'!T63</f>
        <v>Jesús</v>
      </c>
      <c r="K113" s="7" t="str">
        <f>'[1]V, inciso p) (OP)'!U63</f>
        <v>Arenas</v>
      </c>
      <c r="L113" s="7" t="str">
        <f>'[1]V, inciso p) (OP)'!V63</f>
        <v>Bravo</v>
      </c>
      <c r="M113" s="6" t="s">
        <v>2994</v>
      </c>
      <c r="N113" s="7" t="str">
        <f>'[1]V, inciso p) (OP)'!X63</f>
        <v>SIC940317FH7</v>
      </c>
      <c r="O113" s="11">
        <f t="shared" si="3"/>
        <v>17394240.84</v>
      </c>
      <c r="P113" s="11">
        <f>13845999.98+3548240.84</f>
        <v>17394240.82</v>
      </c>
      <c r="Q113" s="7" t="s">
        <v>428</v>
      </c>
      <c r="R113" s="11">
        <f>O113/1240</f>
        <v>14027.613580645162</v>
      </c>
      <c r="S113" s="7" t="s">
        <v>41</v>
      </c>
      <c r="T113" s="12">
        <v>8450</v>
      </c>
      <c r="U113" s="13" t="s">
        <v>42</v>
      </c>
      <c r="V113" s="7" t="s">
        <v>43</v>
      </c>
      <c r="W113" s="10">
        <f>'[1]V, inciso p) (OP)'!AM63</f>
        <v>42688</v>
      </c>
      <c r="X113" s="10">
        <f>'[1]V, inciso p) (OP)'!AN63</f>
        <v>42763</v>
      </c>
      <c r="Y113" s="7" t="s">
        <v>429</v>
      </c>
      <c r="Z113" s="7" t="s">
        <v>290</v>
      </c>
      <c r="AA113" s="7" t="s">
        <v>73</v>
      </c>
      <c r="AB113" s="21" t="s">
        <v>2776</v>
      </c>
      <c r="AC113" s="6" t="s">
        <v>2438</v>
      </c>
      <c r="AD113" s="6"/>
    </row>
    <row r="114" spans="1:30" ht="69.95" customHeight="1">
      <c r="A114" s="34">
        <v>102</v>
      </c>
      <c r="B114" s="7">
        <v>2016</v>
      </c>
      <c r="C114" s="6" t="s">
        <v>31</v>
      </c>
      <c r="D114" s="6" t="str">
        <f>'[1]V, inciso p) (OP)'!D64</f>
        <v>DOPI-EST-CR-PAV-LP-102-2016</v>
      </c>
      <c r="E114" s="10">
        <f>'[1]V, inciso p) (OP)'!AD64</f>
        <v>42656</v>
      </c>
      <c r="F114" s="32" t="str">
        <f>'[1]V, inciso p) (OP)'!I64</f>
        <v>Construcción de la primera etapa de la calle Paseo de los Ciruelos de Paseo de los Membrillos a Paseo de los Encinos con concreto hidráulico en la zona Mesa Colorada, incluye: guarniciones, banquetas, red de agua potable, alcantarillado y alumbrado público, Municipio de Zapopan, Jalisco.</v>
      </c>
      <c r="G114" s="6" t="s">
        <v>3315</v>
      </c>
      <c r="H114" s="38">
        <f>800844.56+145065.86</f>
        <v>945910.42</v>
      </c>
      <c r="I114" s="6" t="str">
        <f>'[1]V, inciso p) (OP)'!AS64</f>
        <v>Mesa Colorada</v>
      </c>
      <c r="J114" s="6" t="str">
        <f>'[1]V, inciso p) (OP)'!T64</f>
        <v>José Omar</v>
      </c>
      <c r="K114" s="7" t="str">
        <f>'[1]V, inciso p) (OP)'!U64</f>
        <v>Fernández</v>
      </c>
      <c r="L114" s="7" t="str">
        <f>'[1]V, inciso p) (OP)'!V64</f>
        <v>Vázquez</v>
      </c>
      <c r="M114" s="6" t="s">
        <v>2991</v>
      </c>
      <c r="N114" s="7" t="str">
        <f>'[1]V, inciso p) (OP)'!X64</f>
        <v>ECO0908115Z7</v>
      </c>
      <c r="O114" s="11">
        <f t="shared" si="3"/>
        <v>945910.42</v>
      </c>
      <c r="P114" s="11">
        <v>945691.27</v>
      </c>
      <c r="Q114" s="7" t="s">
        <v>430</v>
      </c>
      <c r="R114" s="11">
        <f>O114/315</f>
        <v>3002.8902222222223</v>
      </c>
      <c r="S114" s="7" t="s">
        <v>41</v>
      </c>
      <c r="T114" s="12">
        <v>1874</v>
      </c>
      <c r="U114" s="13" t="s">
        <v>42</v>
      </c>
      <c r="V114" s="7" t="s">
        <v>43</v>
      </c>
      <c r="W114" s="10">
        <f>'[1]V, inciso p) (OP)'!AM64</f>
        <v>42657</v>
      </c>
      <c r="X114" s="10">
        <f>'[1]V, inciso p) (OP)'!AN64</f>
        <v>42776</v>
      </c>
      <c r="Y114" s="7" t="s">
        <v>431</v>
      </c>
      <c r="Z114" s="7" t="s">
        <v>181</v>
      </c>
      <c r="AA114" s="7" t="s">
        <v>89</v>
      </c>
      <c r="AB114" s="21" t="s">
        <v>2777</v>
      </c>
      <c r="AC114" s="6" t="s">
        <v>2438</v>
      </c>
      <c r="AD114" s="6"/>
    </row>
    <row r="115" spans="1:30" ht="69.95" customHeight="1">
      <c r="A115" s="34">
        <v>103</v>
      </c>
      <c r="B115" s="7">
        <v>2016</v>
      </c>
      <c r="C115" s="6" t="s">
        <v>31</v>
      </c>
      <c r="D115" s="6" t="str">
        <f>'[1]V, inciso p) (OP)'!D65</f>
        <v>DOPI-EST-CR-PAV-LP-103-2016</v>
      </c>
      <c r="E115" s="10">
        <f>'[1]V, inciso p) (OP)'!AD65</f>
        <v>42656</v>
      </c>
      <c r="F115" s="32" t="str">
        <f>'[1]V, inciso p) (OP)'!I65</f>
        <v>Construcción de la primera etapa de la calle Paseo de los Membrillos de Paseo del Roble a Paseo de los Aguacates de concreto hidráulico en la zona de la Mesa Colorada, incluye: guarniciones, banquetas, red de agua potable, alcantarillado y alumbrado público, Municipio de Zapopan, Jalisco.</v>
      </c>
      <c r="G115" s="6" t="s">
        <v>3315</v>
      </c>
      <c r="H115" s="39">
        <v>2310172.9900000002</v>
      </c>
      <c r="I115" s="6" t="str">
        <f>'[1]V, inciso p) (OP)'!AS65</f>
        <v>Mesa Colorada</v>
      </c>
      <c r="J115" s="6" t="str">
        <f>'[1]V, inciso p) (OP)'!T65</f>
        <v>Alejandro</v>
      </c>
      <c r="K115" s="7" t="str">
        <f>'[1]V, inciso p) (OP)'!U65</f>
        <v>Guevara</v>
      </c>
      <c r="L115" s="7" t="str">
        <f>'[1]V, inciso p) (OP)'!V65</f>
        <v>Castellanos</v>
      </c>
      <c r="M115" s="6" t="s">
        <v>2995</v>
      </c>
      <c r="N115" s="7" t="str">
        <f>'[1]V, inciso p) (OP)'!X65</f>
        <v>UCA0207107X6</v>
      </c>
      <c r="O115" s="11">
        <f t="shared" si="3"/>
        <v>2310172.9900000002</v>
      </c>
      <c r="P115" s="11">
        <v>1707328.7999999998</v>
      </c>
      <c r="Q115" s="7" t="s">
        <v>432</v>
      </c>
      <c r="R115" s="11">
        <f>O115/1222</f>
        <v>1890.485261865794</v>
      </c>
      <c r="S115" s="7" t="s">
        <v>41</v>
      </c>
      <c r="T115" s="12">
        <v>4532</v>
      </c>
      <c r="U115" s="13" t="s">
        <v>42</v>
      </c>
      <c r="V115" s="7" t="s">
        <v>43</v>
      </c>
      <c r="W115" s="10">
        <f>'[1]V, inciso p) (OP)'!AM65</f>
        <v>42657</v>
      </c>
      <c r="X115" s="10">
        <f>'[1]V, inciso p) (OP)'!AN65</f>
        <v>42776</v>
      </c>
      <c r="Y115" s="7" t="s">
        <v>431</v>
      </c>
      <c r="Z115" s="7" t="s">
        <v>181</v>
      </c>
      <c r="AA115" s="7" t="s">
        <v>89</v>
      </c>
      <c r="AB115" s="21" t="s">
        <v>2778</v>
      </c>
      <c r="AC115" s="6" t="s">
        <v>2438</v>
      </c>
      <c r="AD115" s="6"/>
    </row>
    <row r="116" spans="1:30" ht="69.95" customHeight="1">
      <c r="A116" s="34">
        <v>104</v>
      </c>
      <c r="B116" s="7">
        <v>2016</v>
      </c>
      <c r="C116" s="6" t="s">
        <v>31</v>
      </c>
      <c r="D116" s="6" t="str">
        <f>'[1]V, inciso p) (OP)'!D66</f>
        <v>DOPI-EST-CR-PAV-LP-104-2016</v>
      </c>
      <c r="E116" s="10">
        <f>'[1]V, inciso p) (OP)'!AD66</f>
        <v>42656</v>
      </c>
      <c r="F116" s="32" t="str">
        <f>'[1]V, inciso p) (OP)'!I66</f>
        <v>Construcción de la primera etapa de la calle Paseo del Roble de Paseo de los Membrillos a Paseo de los Perones con concreto hidráulico en la zona de la Mesa Colorada, incluye: guarniciones, banquetas, red de agua potable, alcantarillado y alumbrado público, Municipio de Zapopan, Jalisco.</v>
      </c>
      <c r="G116" s="6" t="s">
        <v>3315</v>
      </c>
      <c r="H116" s="39">
        <v>931716.14</v>
      </c>
      <c r="I116" s="6" t="str">
        <f>'[1]V, inciso p) (OP)'!AS66</f>
        <v>Mesa Colorada</v>
      </c>
      <c r="J116" s="6" t="str">
        <f>'[1]V, inciso p) (OP)'!T66</f>
        <v>Alejandro</v>
      </c>
      <c r="K116" s="7" t="str">
        <f>'[1]V, inciso p) (OP)'!U66</f>
        <v>Guevara</v>
      </c>
      <c r="L116" s="7" t="str">
        <f>'[1]V, inciso p) (OP)'!V66</f>
        <v>Castellanos</v>
      </c>
      <c r="M116" s="6" t="s">
        <v>2995</v>
      </c>
      <c r="N116" s="7" t="str">
        <f>'[1]V, inciso p) (OP)'!X66</f>
        <v>UCA0207107X6</v>
      </c>
      <c r="O116" s="11">
        <f t="shared" si="3"/>
        <v>931716.14</v>
      </c>
      <c r="P116" s="11">
        <v>767791.19</v>
      </c>
      <c r="Q116" s="7" t="s">
        <v>433</v>
      </c>
      <c r="R116" s="11">
        <f>O116/375</f>
        <v>2484.5763733333333</v>
      </c>
      <c r="S116" s="7" t="s">
        <v>41</v>
      </c>
      <c r="T116" s="12">
        <v>4532</v>
      </c>
      <c r="U116" s="13" t="s">
        <v>42</v>
      </c>
      <c r="V116" s="7" t="s">
        <v>43</v>
      </c>
      <c r="W116" s="10">
        <f>'[1]V, inciso p) (OP)'!AM66</f>
        <v>42657</v>
      </c>
      <c r="X116" s="10">
        <f>'[1]V, inciso p) (OP)'!AN66</f>
        <v>42776</v>
      </c>
      <c r="Y116" s="7" t="s">
        <v>431</v>
      </c>
      <c r="Z116" s="7" t="s">
        <v>181</v>
      </c>
      <c r="AA116" s="7" t="s">
        <v>89</v>
      </c>
      <c r="AB116" s="21" t="s">
        <v>1426</v>
      </c>
      <c r="AC116" s="6" t="s">
        <v>2438</v>
      </c>
      <c r="AD116" s="6"/>
    </row>
    <row r="117" spans="1:30" ht="69.95" customHeight="1">
      <c r="A117" s="34">
        <v>105</v>
      </c>
      <c r="B117" s="7">
        <v>2016</v>
      </c>
      <c r="C117" s="6" t="s">
        <v>31</v>
      </c>
      <c r="D117" s="6" t="str">
        <f>'[1]V, inciso p) (OP)'!D67</f>
        <v>DOPI-EST-CR-PAV-LP-105-2016</v>
      </c>
      <c r="E117" s="10">
        <f>'[1]V, inciso p) (OP)'!AD67</f>
        <v>42656</v>
      </c>
      <c r="F117" s="32" t="str">
        <f>'[1]V, inciso p) (OP)'!I67</f>
        <v>Construcción de la primera etapa de la calle Chícharo de calle Lenteja a Carretera Saltillo con concreto hidráulico en la zona de la Mesa Colorada, incluye: guarniciones, banquetas, red de agua potable, alcantarillado y alumbrado público, Municipio de Zapopan, Jalisco.</v>
      </c>
      <c r="G117" s="6" t="s">
        <v>3315</v>
      </c>
      <c r="H117" s="39">
        <v>9667197.2699999996</v>
      </c>
      <c r="I117" s="6" t="str">
        <f>'[1]V, inciso p) (OP)'!AS67</f>
        <v>Mesa Colorada</v>
      </c>
      <c r="J117" s="6" t="str">
        <f>'[1]V, inciso p) (OP)'!T67</f>
        <v>Felipe Daniel II</v>
      </c>
      <c r="K117" s="7" t="str">
        <f>'[1]V, inciso p) (OP)'!U67</f>
        <v>Nuñez</v>
      </c>
      <c r="L117" s="7" t="str">
        <f>'[1]V, inciso p) (OP)'!V67</f>
        <v>Pinzón</v>
      </c>
      <c r="M117" s="6" t="s">
        <v>2996</v>
      </c>
      <c r="N117" s="7" t="str">
        <f>'[1]V, inciso p) (OP)'!X67</f>
        <v>GNU120809KX1</v>
      </c>
      <c r="O117" s="11">
        <f t="shared" si="3"/>
        <v>9667197.2699999996</v>
      </c>
      <c r="P117" s="11">
        <v>9667197.2799999993</v>
      </c>
      <c r="Q117" s="7" t="s">
        <v>434</v>
      </c>
      <c r="R117" s="11">
        <f>O117/5067</f>
        <v>1907.8739431616341</v>
      </c>
      <c r="S117" s="7" t="s">
        <v>41</v>
      </c>
      <c r="T117" s="12">
        <v>7873</v>
      </c>
      <c r="U117" s="13" t="s">
        <v>42</v>
      </c>
      <c r="V117" s="7" t="s">
        <v>43</v>
      </c>
      <c r="W117" s="10">
        <f>'[1]V, inciso p) (OP)'!AM67</f>
        <v>42657</v>
      </c>
      <c r="X117" s="10">
        <f>'[1]V, inciso p) (OP)'!AN67</f>
        <v>42776</v>
      </c>
      <c r="Y117" s="7" t="s">
        <v>431</v>
      </c>
      <c r="Z117" s="7" t="s">
        <v>181</v>
      </c>
      <c r="AA117" s="7" t="s">
        <v>89</v>
      </c>
      <c r="AB117" s="21" t="s">
        <v>1354</v>
      </c>
      <c r="AC117" s="6" t="s">
        <v>2438</v>
      </c>
      <c r="AD117" s="6"/>
    </row>
    <row r="118" spans="1:30" ht="69.95" customHeight="1">
      <c r="A118" s="34">
        <v>106</v>
      </c>
      <c r="B118" s="7">
        <v>2016</v>
      </c>
      <c r="C118" s="6" t="s">
        <v>31</v>
      </c>
      <c r="D118" s="6" t="str">
        <f>'[1]V, inciso p) (OP)'!D68</f>
        <v>DOPI-EST-CR-PAV-LP-106-2016</v>
      </c>
      <c r="E118" s="10">
        <f>'[1]V, inciso p) (OP)'!AD68</f>
        <v>42656</v>
      </c>
      <c r="F118" s="32" t="str">
        <f>'[1]V, inciso p) (OP)'!I68</f>
        <v>Reencarpetamiento de la Av. Santa Margarita de Periférico a Av. Tesistán, en la colonia Santa Margarita incluye: guarniciones, banquetas, renivelación de pozos y cajas, señalamiento vertical y horizontal, Municipio de Zapopan, Jalisco.</v>
      </c>
      <c r="G118" s="6" t="s">
        <v>3315</v>
      </c>
      <c r="H118" s="39">
        <v>9033319.6300000008</v>
      </c>
      <c r="I118" s="6" t="str">
        <f>'[1]V, inciso p) (OP)'!AS68</f>
        <v>Colonia Santa Margarita</v>
      </c>
      <c r="J118" s="6" t="str">
        <f>'[1]V, inciso p) (OP)'!T68</f>
        <v>Ángel Salomón</v>
      </c>
      <c r="K118" s="7" t="str">
        <f>'[1]V, inciso p) (OP)'!U68</f>
        <v>Rincón</v>
      </c>
      <c r="L118" s="7" t="str">
        <f>'[1]V, inciso p) (OP)'!V68</f>
        <v>De la Rosa</v>
      </c>
      <c r="M118" s="6" t="s">
        <v>2997</v>
      </c>
      <c r="N118" s="7" t="str">
        <f>'[1]V, inciso p) (OP)'!X68</f>
        <v>AAR120507VA9</v>
      </c>
      <c r="O118" s="11">
        <f t="shared" si="3"/>
        <v>9033319.6300000008</v>
      </c>
      <c r="P118" s="11">
        <v>8247612.459999999</v>
      </c>
      <c r="Q118" s="7" t="s">
        <v>435</v>
      </c>
      <c r="R118" s="11">
        <f>O118/16200</f>
        <v>557.61232283950619</v>
      </c>
      <c r="S118" s="7" t="s">
        <v>41</v>
      </c>
      <c r="T118" s="12">
        <v>14561</v>
      </c>
      <c r="U118" s="13" t="s">
        <v>42</v>
      </c>
      <c r="V118" s="7" t="s">
        <v>43</v>
      </c>
      <c r="W118" s="10">
        <f>'[1]V, inciso p) (OP)'!AM68</f>
        <v>42657</v>
      </c>
      <c r="X118" s="10">
        <f>'[1]V, inciso p) (OP)'!AN68</f>
        <v>42746</v>
      </c>
      <c r="Y118" s="7" t="s">
        <v>436</v>
      </c>
      <c r="Z118" s="7" t="s">
        <v>437</v>
      </c>
      <c r="AA118" s="7" t="s">
        <v>362</v>
      </c>
      <c r="AB118" s="21" t="s">
        <v>2779</v>
      </c>
      <c r="AC118" s="6" t="s">
        <v>2438</v>
      </c>
      <c r="AD118" s="6"/>
    </row>
    <row r="119" spans="1:30" ht="69.95" customHeight="1">
      <c r="A119" s="34">
        <v>107</v>
      </c>
      <c r="B119" s="7">
        <v>2016</v>
      </c>
      <c r="C119" s="6" t="s">
        <v>31</v>
      </c>
      <c r="D119" s="6" t="str">
        <f>'[1]V, inciso p) (OP)'!D69</f>
        <v>DOPI-EST-CR-PAV-LP-107-2016</v>
      </c>
      <c r="E119" s="10">
        <f>'[1]V, inciso p) (OP)'!AD69</f>
        <v>42656</v>
      </c>
      <c r="F119" s="32" t="str">
        <f>'[1]V, inciso p) (OP)'!I69</f>
        <v>Reencarpetamiento de la calle Santa Esther de Av. Acueducto a Periférico, primera etapa, en la colonia Santa Margarita, incluye: guarniciones, banquetas, renivelación de pozos y cajas, señalamiento vertical y horizontal, Municipio de Zapopan, Jalisco.</v>
      </c>
      <c r="G119" s="6" t="s">
        <v>3315</v>
      </c>
      <c r="H119" s="39">
        <v>1679620.18</v>
      </c>
      <c r="I119" s="6" t="str">
        <f>'[1]V, inciso p) (OP)'!AS69</f>
        <v>Colonia Santa Margarita</v>
      </c>
      <c r="J119" s="6" t="str">
        <f>'[1]V, inciso p) (OP)'!T69</f>
        <v>Ángel Salomón</v>
      </c>
      <c r="K119" s="7" t="str">
        <f>'[1]V, inciso p) (OP)'!U69</f>
        <v>Rincón</v>
      </c>
      <c r="L119" s="7" t="str">
        <f>'[1]V, inciso p) (OP)'!V69</f>
        <v>De la Rosa</v>
      </c>
      <c r="M119" s="6" t="s">
        <v>2997</v>
      </c>
      <c r="N119" s="7" t="str">
        <f>'[1]V, inciso p) (OP)'!X69</f>
        <v>AAR120507VA9</v>
      </c>
      <c r="O119" s="11">
        <f t="shared" si="3"/>
        <v>1679620.18</v>
      </c>
      <c r="P119" s="11">
        <v>1679619.76</v>
      </c>
      <c r="Q119" s="7" t="s">
        <v>438</v>
      </c>
      <c r="R119" s="11">
        <f>O119/1894</f>
        <v>886.81107708553327</v>
      </c>
      <c r="S119" s="7" t="s">
        <v>41</v>
      </c>
      <c r="T119" s="12">
        <v>20613</v>
      </c>
      <c r="U119" s="13" t="s">
        <v>42</v>
      </c>
      <c r="V119" s="7" t="s">
        <v>43</v>
      </c>
      <c r="W119" s="10">
        <f>'[1]V, inciso p) (OP)'!AM69</f>
        <v>42657</v>
      </c>
      <c r="X119" s="10">
        <f>'[1]V, inciso p) (OP)'!AN69</f>
        <v>42746</v>
      </c>
      <c r="Y119" s="7" t="s">
        <v>436</v>
      </c>
      <c r="Z119" s="7" t="s">
        <v>437</v>
      </c>
      <c r="AA119" s="7" t="s">
        <v>362</v>
      </c>
      <c r="AB119" s="21" t="s">
        <v>2780</v>
      </c>
      <c r="AC119" s="6" t="s">
        <v>2438</v>
      </c>
      <c r="AD119" s="6"/>
    </row>
    <row r="120" spans="1:30" ht="69.95" customHeight="1">
      <c r="A120" s="34">
        <v>108</v>
      </c>
      <c r="B120" s="7">
        <v>2016</v>
      </c>
      <c r="C120" s="6" t="s">
        <v>31</v>
      </c>
      <c r="D120" s="6" t="str">
        <f>'[1]V, inciso p) (OP)'!D70</f>
        <v>DOPI-EST-CR-PAV-LP-108-2016</v>
      </c>
      <c r="E120" s="10">
        <f>'[1]V, inciso p) (OP)'!AD70</f>
        <v>42656</v>
      </c>
      <c r="F120" s="32" t="str">
        <f>'[1]V, inciso p) (OP)'!I70</f>
        <v>Reencarpetamiento de la calle Santa Esther de Periférico a Av. Santa Ana, primera etapa, en la colonia Santa Margarita, incluye: guarniciones, banquetas, renivelación de pozos y cajas, señalamiento vertical y horizontal, Municipio de Zapopan, Jalisco.</v>
      </c>
      <c r="G120" s="6" t="s">
        <v>3315</v>
      </c>
      <c r="H120" s="39">
        <v>1797538.26</v>
      </c>
      <c r="I120" s="6" t="str">
        <f>'[1]V, inciso p) (OP)'!AS70</f>
        <v>Colonia Santa Margarita</v>
      </c>
      <c r="J120" s="6" t="str">
        <f>'[1]V, inciso p) (OP)'!T70</f>
        <v>Mario</v>
      </c>
      <c r="K120" s="7" t="str">
        <f>'[1]V, inciso p) (OP)'!U70</f>
        <v>Beltrán</v>
      </c>
      <c r="L120" s="7" t="str">
        <f>'[1]V, inciso p) (OP)'!V70</f>
        <v>Rodríguez</v>
      </c>
      <c r="M120" s="6" t="s">
        <v>2998</v>
      </c>
      <c r="N120" s="7" t="str">
        <f>'[1]V, inciso p) (OP)'!X70</f>
        <v>CDB0506068Z4</v>
      </c>
      <c r="O120" s="11">
        <f t="shared" si="3"/>
        <v>1797538.26</v>
      </c>
      <c r="P120" s="11">
        <v>1797538.27</v>
      </c>
      <c r="Q120" s="7" t="s">
        <v>439</v>
      </c>
      <c r="R120" s="11">
        <f>O120/2001</f>
        <v>898.31997001499246</v>
      </c>
      <c r="S120" s="7" t="s">
        <v>41</v>
      </c>
      <c r="T120" s="12">
        <v>20613</v>
      </c>
      <c r="U120" s="13" t="s">
        <v>42</v>
      </c>
      <c r="V120" s="7" t="s">
        <v>43</v>
      </c>
      <c r="W120" s="10">
        <f>'[1]V, inciso p) (OP)'!AM70</f>
        <v>42657</v>
      </c>
      <c r="X120" s="10">
        <f>'[1]V, inciso p) (OP)'!AN70</f>
        <v>42746</v>
      </c>
      <c r="Y120" s="7" t="s">
        <v>436</v>
      </c>
      <c r="Z120" s="7" t="s">
        <v>437</v>
      </c>
      <c r="AA120" s="7" t="s">
        <v>362</v>
      </c>
      <c r="AB120" s="21" t="s">
        <v>1355</v>
      </c>
      <c r="AC120" s="6" t="s">
        <v>2438</v>
      </c>
      <c r="AD120" s="6"/>
    </row>
    <row r="121" spans="1:30" ht="69.95" customHeight="1">
      <c r="A121" s="34">
        <v>109</v>
      </c>
      <c r="B121" s="7">
        <v>2016</v>
      </c>
      <c r="C121" s="6" t="s">
        <v>31</v>
      </c>
      <c r="D121" s="6" t="str">
        <f>'[1]V, inciso p) (OP)'!D71</f>
        <v>DOPI-EST-CR-PAV-LP-109-2016</v>
      </c>
      <c r="E121" s="10">
        <f>'[1]V, inciso p) (OP)'!AD71</f>
        <v>42656</v>
      </c>
      <c r="F121" s="32" t="str">
        <f>'[1]V, inciso p) (OP)'!I71</f>
        <v>Reencarpetamiento de la calle Pípila-Carpinteros de calle Las Flores a Emiliano Zapata, primera etapa, en la colonia La Martinica, incluye: guarniciones, banquetas, renivelación de pozos y cajas, señalamiento vertical y horizontal (modernización con concreto hidráulico), Municipio de Zapopan, Jalisco.</v>
      </c>
      <c r="G121" s="6" t="s">
        <v>3315</v>
      </c>
      <c r="H121" s="38">
        <f>9062555.08+498069.53</f>
        <v>9560624.6099999994</v>
      </c>
      <c r="I121" s="6" t="str">
        <f>'[1]V, inciso p) (OP)'!AS71</f>
        <v>Colonia La Martinica</v>
      </c>
      <c r="J121" s="6" t="str">
        <f>'[1]V, inciso p) (OP)'!T71</f>
        <v>Sergio Cesar</v>
      </c>
      <c r="K121" s="7" t="str">
        <f>'[1]V, inciso p) (OP)'!U71</f>
        <v>Diaz</v>
      </c>
      <c r="L121" s="7" t="str">
        <f>'[1]V, inciso p) (OP)'!V71</f>
        <v>Quiroz</v>
      </c>
      <c r="M121" s="6" t="s">
        <v>2999</v>
      </c>
      <c r="N121" s="7" t="str">
        <f>'[1]V, inciso p) (OP)'!X71</f>
        <v>GUM111201IA5</v>
      </c>
      <c r="O121" s="11">
        <f t="shared" si="3"/>
        <v>9560624.6099999994</v>
      </c>
      <c r="P121" s="11">
        <v>9560624.5851999987</v>
      </c>
      <c r="Q121" s="7" t="s">
        <v>440</v>
      </c>
      <c r="R121" s="11">
        <f>O121/7601</f>
        <v>1257.8114208656755</v>
      </c>
      <c r="S121" s="7" t="s">
        <v>41</v>
      </c>
      <c r="T121" s="12">
        <v>7133</v>
      </c>
      <c r="U121" s="13" t="s">
        <v>42</v>
      </c>
      <c r="V121" s="7" t="s">
        <v>43</v>
      </c>
      <c r="W121" s="10">
        <f>'[1]V, inciso p) (OP)'!AM71</f>
        <v>42657</v>
      </c>
      <c r="X121" s="10">
        <f>'[1]V, inciso p) (OP)'!AN71</f>
        <v>42746</v>
      </c>
      <c r="Y121" s="7" t="s">
        <v>441</v>
      </c>
      <c r="Z121" s="7" t="s">
        <v>442</v>
      </c>
      <c r="AA121" s="7" t="s">
        <v>443</v>
      </c>
      <c r="AB121" s="21" t="s">
        <v>1427</v>
      </c>
      <c r="AC121" s="6" t="s">
        <v>2438</v>
      </c>
      <c r="AD121" s="6"/>
    </row>
    <row r="122" spans="1:30" ht="69.95" customHeight="1">
      <c r="A122" s="34">
        <v>110</v>
      </c>
      <c r="B122" s="7">
        <v>2016</v>
      </c>
      <c r="C122" s="6" t="s">
        <v>31</v>
      </c>
      <c r="D122" s="6" t="str">
        <f>'[1]V, inciso p) (OP)'!D72</f>
        <v>DOPI-EST-CR-PAV-LP-110-2016</v>
      </c>
      <c r="E122" s="10">
        <f>'[1]V, inciso p) (OP)'!AD72</f>
        <v>42656</v>
      </c>
      <c r="F122" s="32" t="str">
        <f>'[1]V, inciso p) (OP)'!I72</f>
        <v>Reencarpetamiento de la calle Plan de Guadalupe de González Gallo a calle Tratado de Tlatelolco en la colonia Parque del Auditorio, incluye: guarniciones, banquetas, renivelación de pozos y cajas, señalamiento  horizontal. (Modernización con concreto hidráulico.), Municipio de Zapopan, Jalisco.</v>
      </c>
      <c r="G122" s="6" t="s">
        <v>3315</v>
      </c>
      <c r="H122" s="39">
        <v>7061595.75</v>
      </c>
      <c r="I122" s="6" t="str">
        <f>'[1]V, inciso p) (OP)'!AS72</f>
        <v>Colonia Parque del Auditorio</v>
      </c>
      <c r="J122" s="6" t="str">
        <f>'[1]V, inciso p) (OP)'!T72</f>
        <v>Sergio Cesar</v>
      </c>
      <c r="K122" s="7" t="str">
        <f>'[1]V, inciso p) (OP)'!U72</f>
        <v>Díaz</v>
      </c>
      <c r="L122" s="7" t="str">
        <f>'[1]V, inciso p) (OP)'!V72</f>
        <v>Quiroz</v>
      </c>
      <c r="M122" s="6" t="s">
        <v>2967</v>
      </c>
      <c r="N122" s="7" t="str">
        <f>'[1]V, inciso p) (OP)'!X72</f>
        <v>TRA750528286</v>
      </c>
      <c r="O122" s="11">
        <f t="shared" si="3"/>
        <v>7061595.75</v>
      </c>
      <c r="P122" s="11">
        <v>7061595.7412</v>
      </c>
      <c r="Q122" s="7" t="s">
        <v>354</v>
      </c>
      <c r="R122" s="11">
        <f>O122/4400</f>
        <v>1604.9081249999999</v>
      </c>
      <c r="S122" s="7" t="s">
        <v>41</v>
      </c>
      <c r="T122" s="12">
        <v>7692</v>
      </c>
      <c r="U122" s="13" t="s">
        <v>42</v>
      </c>
      <c r="V122" s="7" t="s">
        <v>43</v>
      </c>
      <c r="W122" s="10">
        <f>'[1]V, inciso p) (OP)'!AM72</f>
        <v>42657</v>
      </c>
      <c r="X122" s="10">
        <f>'[1]V, inciso p) (OP)'!AN72</f>
        <v>42746</v>
      </c>
      <c r="Y122" s="7" t="s">
        <v>441</v>
      </c>
      <c r="Z122" s="7" t="s">
        <v>442</v>
      </c>
      <c r="AA122" s="7" t="s">
        <v>443</v>
      </c>
      <c r="AB122" s="21" t="s">
        <v>1386</v>
      </c>
      <c r="AC122" s="6" t="s">
        <v>2438</v>
      </c>
      <c r="AD122" s="6"/>
    </row>
    <row r="123" spans="1:30" ht="69.95" customHeight="1">
      <c r="A123" s="34">
        <v>111</v>
      </c>
      <c r="B123" s="7">
        <v>2016</v>
      </c>
      <c r="C123" s="6" t="s">
        <v>31</v>
      </c>
      <c r="D123" s="6" t="str">
        <f>'[1]V, inciso p) (OP)'!D73</f>
        <v>DOPI-EST-CR-PAV-LP-111-2016</v>
      </c>
      <c r="E123" s="10">
        <f>'[1]V, inciso p) (OP)'!AD73</f>
        <v>42656</v>
      </c>
      <c r="F123" s="6" t="str">
        <f>'[1]V, inciso p) (OP)'!I73</f>
        <v>Sustitución de losas en la colonia Parque del Auditorio, Municipio de Zapopan, Jalisco.</v>
      </c>
      <c r="G123" s="6" t="s">
        <v>3315</v>
      </c>
      <c r="H123" s="39">
        <v>1331822.1599999999</v>
      </c>
      <c r="I123" s="6" t="str">
        <f>'[1]V, inciso p) (OP)'!AS73</f>
        <v>Colonia Parque del Auditorio</v>
      </c>
      <c r="J123" s="6" t="str">
        <f>'[1]V, inciso p) (OP)'!T73</f>
        <v>Mario</v>
      </c>
      <c r="K123" s="7" t="str">
        <f>'[1]V, inciso p) (OP)'!U73</f>
        <v>Beltrán</v>
      </c>
      <c r="L123" s="7" t="str">
        <f>'[1]V, inciso p) (OP)'!V73</f>
        <v>Rodríguez</v>
      </c>
      <c r="M123" s="6" t="s">
        <v>2998</v>
      </c>
      <c r="N123" s="7" t="str">
        <f>'[1]V, inciso p) (OP)'!X73</f>
        <v>CDB0506068Z4</v>
      </c>
      <c r="O123" s="11">
        <f t="shared" si="3"/>
        <v>1331822.1599999999</v>
      </c>
      <c r="P123" s="11">
        <v>1310510.1000000001</v>
      </c>
      <c r="Q123" s="7" t="s">
        <v>444</v>
      </c>
      <c r="R123" s="11">
        <f>O123/177</f>
        <v>7524.4189830508467</v>
      </c>
      <c r="S123" s="7" t="s">
        <v>41</v>
      </c>
      <c r="T123" s="12">
        <v>4462</v>
      </c>
      <c r="U123" s="13" t="s">
        <v>42</v>
      </c>
      <c r="V123" s="7" t="s">
        <v>43</v>
      </c>
      <c r="W123" s="10">
        <f>'[1]V, inciso p) (OP)'!AM73</f>
        <v>42657</v>
      </c>
      <c r="X123" s="10">
        <f>'[1]V, inciso p) (OP)'!AN73</f>
        <v>42746</v>
      </c>
      <c r="Y123" s="7" t="s">
        <v>441</v>
      </c>
      <c r="Z123" s="7" t="s">
        <v>442</v>
      </c>
      <c r="AA123" s="7" t="s">
        <v>443</v>
      </c>
      <c r="AB123" s="21" t="s">
        <v>1387</v>
      </c>
      <c r="AC123" s="6" t="s">
        <v>2438</v>
      </c>
      <c r="AD123" s="6"/>
    </row>
    <row r="124" spans="1:30" ht="69.95" customHeight="1">
      <c r="A124" s="34">
        <v>112</v>
      </c>
      <c r="B124" s="7">
        <v>2016</v>
      </c>
      <c r="C124" s="6" t="s">
        <v>31</v>
      </c>
      <c r="D124" s="6" t="str">
        <f>'[1]V, inciso p) (OP)'!D74</f>
        <v>DOPI-EST-CR-PAV-LP-112-2016</v>
      </c>
      <c r="E124" s="10">
        <f>'[1]V, inciso p) (OP)'!AD74</f>
        <v>42656</v>
      </c>
      <c r="F124" s="32" t="str">
        <f>'[1]V, inciso p) (OP)'!I74</f>
        <v>Construcción de la primera etapa de la calle 20 de Enero de calle Juan Santibañez a Juan Diego con concreto hidráulico en San Juan de Ocotán, incluye: guarniciones, banquetas y alumbrado público, Municipio de Zapopan, Jalisco.</v>
      </c>
      <c r="G124" s="6" t="s">
        <v>3315</v>
      </c>
      <c r="H124" s="39">
        <v>3129979.51</v>
      </c>
      <c r="I124" s="6" t="str">
        <f>'[1]V, inciso p) (OP)'!AS74</f>
        <v>San Juan de Ocotán</v>
      </c>
      <c r="J124" s="6" t="str">
        <f>'[1]V, inciso p) (OP)'!T74</f>
        <v>Omar</v>
      </c>
      <c r="K124" s="7" t="str">
        <f>'[1]V, inciso p) (OP)'!U74</f>
        <v>Mora</v>
      </c>
      <c r="L124" s="7" t="str">
        <f>'[1]V, inciso p) (OP)'!V74</f>
        <v>Montes de Oca</v>
      </c>
      <c r="M124" s="6" t="s">
        <v>3000</v>
      </c>
      <c r="N124" s="7" t="str">
        <f>'[1]V, inciso p) (OP)'!X74</f>
        <v>DCO130215C16</v>
      </c>
      <c r="O124" s="11">
        <f t="shared" si="3"/>
        <v>3129979.51</v>
      </c>
      <c r="P124" s="11">
        <v>2441606.1244000001</v>
      </c>
      <c r="Q124" s="7" t="s">
        <v>445</v>
      </c>
      <c r="R124" s="11">
        <f>O124/2130</f>
        <v>1469.4739483568073</v>
      </c>
      <c r="S124" s="7" t="s">
        <v>41</v>
      </c>
      <c r="T124" s="12">
        <v>5581</v>
      </c>
      <c r="U124" s="13" t="s">
        <v>42</v>
      </c>
      <c r="V124" s="7" t="s">
        <v>43</v>
      </c>
      <c r="W124" s="10">
        <f>'[1]V, inciso p) (OP)'!AM74</f>
        <v>42657</v>
      </c>
      <c r="X124" s="10">
        <f>'[1]V, inciso p) (OP)'!AN74</f>
        <v>42776</v>
      </c>
      <c r="Y124" s="7" t="s">
        <v>446</v>
      </c>
      <c r="Z124" s="7" t="s">
        <v>447</v>
      </c>
      <c r="AA124" s="7" t="s">
        <v>448</v>
      </c>
      <c r="AB124" s="21" t="s">
        <v>2781</v>
      </c>
      <c r="AC124" s="6" t="s">
        <v>2438</v>
      </c>
      <c r="AD124" s="6"/>
    </row>
    <row r="125" spans="1:30" ht="69.95" customHeight="1">
      <c r="A125" s="34">
        <v>113</v>
      </c>
      <c r="B125" s="7">
        <v>2016</v>
      </c>
      <c r="C125" s="6" t="s">
        <v>31</v>
      </c>
      <c r="D125" s="6" t="str">
        <f>'[1]V, inciso p) (OP)'!D75</f>
        <v>DOPI-EST-CR-PAV-LP-113-2016</v>
      </c>
      <c r="E125" s="10">
        <f>'[1]V, inciso p) (OP)'!AD75</f>
        <v>42656</v>
      </c>
      <c r="F125" s="32" t="str">
        <f>'[1]V, inciso p) (OP)'!I75</f>
        <v>Construcción de la primera etapa de la calle Juan Diego de calle Hidalgo a calle Parral con concreto hidráulico en San Juan de Ocotán, incluye: guarniciones, banquetas y alumbrado público, Municipio de Zapopan, Jalisco.</v>
      </c>
      <c r="G125" s="6" t="s">
        <v>3315</v>
      </c>
      <c r="H125" s="39">
        <v>1410912.86</v>
      </c>
      <c r="I125" s="6" t="str">
        <f>'[1]V, inciso p) (OP)'!AS75</f>
        <v>San Juan de Ocotán</v>
      </c>
      <c r="J125" s="6" t="str">
        <f>'[1]V, inciso p) (OP)'!T75</f>
        <v>Julio Eduardo</v>
      </c>
      <c r="K125" s="7" t="str">
        <f>'[1]V, inciso p) (OP)'!U75</f>
        <v>López</v>
      </c>
      <c r="L125" s="7" t="str">
        <f>'[1]V, inciso p) (OP)'!V75</f>
        <v>Pérez</v>
      </c>
      <c r="M125" s="6" t="s">
        <v>314</v>
      </c>
      <c r="N125" s="7" t="str">
        <f>'[1]V, inciso p) (OP)'!X75</f>
        <v>PEI020208RW0</v>
      </c>
      <c r="O125" s="11">
        <f t="shared" si="3"/>
        <v>1410912.86</v>
      </c>
      <c r="P125" s="11">
        <v>1128419.98</v>
      </c>
      <c r="Q125" s="7" t="s">
        <v>449</v>
      </c>
      <c r="R125" s="11">
        <f>O125/846</f>
        <v>1667.7456973995272</v>
      </c>
      <c r="S125" s="7" t="s">
        <v>41</v>
      </c>
      <c r="T125" s="12">
        <v>5581</v>
      </c>
      <c r="U125" s="13" t="s">
        <v>42</v>
      </c>
      <c r="V125" s="7" t="s">
        <v>43</v>
      </c>
      <c r="W125" s="10">
        <f>'[1]V, inciso p) (OP)'!AM75</f>
        <v>42657</v>
      </c>
      <c r="X125" s="10">
        <f>'[1]V, inciso p) (OP)'!AN75</f>
        <v>42776</v>
      </c>
      <c r="Y125" s="7" t="s">
        <v>446</v>
      </c>
      <c r="Z125" s="7" t="s">
        <v>447</v>
      </c>
      <c r="AA125" s="7" t="s">
        <v>448</v>
      </c>
      <c r="AB125" s="21" t="s">
        <v>1428</v>
      </c>
      <c r="AC125" s="6" t="s">
        <v>2438</v>
      </c>
      <c r="AD125" s="6"/>
    </row>
    <row r="126" spans="1:30" ht="69.95" customHeight="1">
      <c r="A126" s="34">
        <v>114</v>
      </c>
      <c r="B126" s="7">
        <v>2016</v>
      </c>
      <c r="C126" s="6" t="s">
        <v>31</v>
      </c>
      <c r="D126" s="6" t="str">
        <f>'[1]V, inciso p) (OP)'!D76</f>
        <v>DOPI-EST-CR-PAV-LP-114-2016</v>
      </c>
      <c r="E126" s="10">
        <f>'[1]V, inciso p) (OP)'!AD76</f>
        <v>42656</v>
      </c>
      <c r="F126" s="32" t="str">
        <f>'[1]V, inciso p) (OP)'!I76</f>
        <v>Construcción de la primera etapa de la calle Hidalgo de calle Juan Santibañez a calle Parral 3, con concreto hidráulico en San Juan de Ocotán, incluye: guarniciones, banquetas y alumbrado público, Municipio de Zapopan, Jalisco.</v>
      </c>
      <c r="G126" s="6" t="s">
        <v>3315</v>
      </c>
      <c r="H126" s="38">
        <f>5333222.53+321586.96</f>
        <v>5654809.4900000002</v>
      </c>
      <c r="I126" s="6" t="str">
        <f>'[1]V, inciso p) (OP)'!AS76</f>
        <v>San Juan de Ocotán</v>
      </c>
      <c r="J126" s="6" t="str">
        <f>'[1]V, inciso p) (OP)'!T76</f>
        <v>Jorge Hugo</v>
      </c>
      <c r="K126" s="7" t="str">
        <f>'[1]V, inciso p) (OP)'!U76</f>
        <v>López</v>
      </c>
      <c r="L126" s="7" t="str">
        <f>'[1]V, inciso p) (OP)'!V76</f>
        <v>Pérez</v>
      </c>
      <c r="M126" s="6" t="s">
        <v>3001</v>
      </c>
      <c r="N126" s="7" t="str">
        <f>'[1]V, inciso p) (OP)'!X76</f>
        <v>CCM130405AY1</v>
      </c>
      <c r="O126" s="11">
        <f t="shared" si="3"/>
        <v>5654809.4900000002</v>
      </c>
      <c r="P126" s="11">
        <v>5489456</v>
      </c>
      <c r="Q126" s="7" t="s">
        <v>450</v>
      </c>
      <c r="R126" s="11">
        <f>O126/3876</f>
        <v>1458.9291769865843</v>
      </c>
      <c r="S126" s="7" t="s">
        <v>41</v>
      </c>
      <c r="T126" s="12">
        <v>5581</v>
      </c>
      <c r="U126" s="13" t="s">
        <v>42</v>
      </c>
      <c r="V126" s="7" t="s">
        <v>43</v>
      </c>
      <c r="W126" s="10">
        <f>'[1]V, inciso p) (OP)'!AM76</f>
        <v>42657</v>
      </c>
      <c r="X126" s="10">
        <f>'[1]V, inciso p) (OP)'!AN76</f>
        <v>42776</v>
      </c>
      <c r="Y126" s="7" t="s">
        <v>446</v>
      </c>
      <c r="Z126" s="7" t="s">
        <v>447</v>
      </c>
      <c r="AA126" s="7" t="s">
        <v>448</v>
      </c>
      <c r="AB126" s="21" t="s">
        <v>1429</v>
      </c>
      <c r="AC126" s="6" t="s">
        <v>2438</v>
      </c>
      <c r="AD126" s="6"/>
    </row>
    <row r="127" spans="1:30" ht="69.95" customHeight="1">
      <c r="A127" s="34">
        <v>115</v>
      </c>
      <c r="B127" s="7">
        <v>2016</v>
      </c>
      <c r="C127" s="6" t="s">
        <v>31</v>
      </c>
      <c r="D127" s="6" t="str">
        <f>'[1]V, inciso p) (OP)'!D77</f>
        <v>DOPI-EST-CR-PAV-LP-115-2016</v>
      </c>
      <c r="E127" s="10">
        <f>'[1]V, inciso p) (OP)'!AD77</f>
        <v>42656</v>
      </c>
      <c r="F127" s="32" t="str">
        <f>'[1]V, inciso p) (OP)'!I77</f>
        <v>Construcción de la primera etapa de la calle Iturbide de la calle Abasolo hacia Jardines de las Bugambilias con concreto hidráulico en Santa Ana Tepetitlan, incluye: guarniciones, banquetas, red de agua potable, alcantarillado y alumbrado público, Municipio de Zapopan, Jalisco.</v>
      </c>
      <c r="G127" s="6" t="s">
        <v>3315</v>
      </c>
      <c r="H127" s="39">
        <v>1012796.53</v>
      </c>
      <c r="I127" s="6" t="str">
        <f>'[1]V, inciso p) (OP)'!AS77</f>
        <v>Santa Ana Tepetitlán</v>
      </c>
      <c r="J127" s="6" t="str">
        <f>'[1]V, inciso p) (OP)'!T77</f>
        <v>Luis Armando</v>
      </c>
      <c r="K127" s="7" t="str">
        <f>'[1]V, inciso p) (OP)'!U77</f>
        <v>Linares</v>
      </c>
      <c r="L127" s="7" t="str">
        <f>'[1]V, inciso p) (OP)'!V77</f>
        <v>Cacho</v>
      </c>
      <c r="M127" s="6" t="s">
        <v>3002</v>
      </c>
      <c r="N127" s="7" t="str">
        <f>'[1]V, inciso p) (OP)'!X77</f>
        <v>URC160310857</v>
      </c>
      <c r="O127" s="11">
        <f t="shared" ref="O127:O146" si="4">H127</f>
        <v>1012796.53</v>
      </c>
      <c r="P127" s="11">
        <v>817011.9</v>
      </c>
      <c r="Q127" s="7" t="s">
        <v>451</v>
      </c>
      <c r="R127" s="11">
        <f>O127/420</f>
        <v>2411.4203095238095</v>
      </c>
      <c r="S127" s="7" t="s">
        <v>41</v>
      </c>
      <c r="T127" s="12">
        <v>5780</v>
      </c>
      <c r="U127" s="13" t="s">
        <v>42</v>
      </c>
      <c r="V127" s="7" t="s">
        <v>43</v>
      </c>
      <c r="W127" s="10">
        <f>'[1]V, inciso p) (OP)'!AM77</f>
        <v>42657</v>
      </c>
      <c r="X127" s="10">
        <f>'[1]V, inciso p) (OP)'!AN77</f>
        <v>42776</v>
      </c>
      <c r="Y127" s="7" t="s">
        <v>323</v>
      </c>
      <c r="Z127" s="7" t="s">
        <v>231</v>
      </c>
      <c r="AA127" s="7" t="s">
        <v>143</v>
      </c>
      <c r="AB127" s="21" t="s">
        <v>1496</v>
      </c>
      <c r="AC127" s="6" t="s">
        <v>2438</v>
      </c>
      <c r="AD127" s="6"/>
    </row>
    <row r="128" spans="1:30" ht="69.95" customHeight="1">
      <c r="A128" s="34">
        <v>116</v>
      </c>
      <c r="B128" s="7">
        <v>2016</v>
      </c>
      <c r="C128" s="6" t="s">
        <v>31</v>
      </c>
      <c r="D128" s="6" t="str">
        <f>'[1]V, inciso p) (OP)'!D78</f>
        <v>DOPI-EST-CR-PAV-LP-116-2016</v>
      </c>
      <c r="E128" s="10">
        <f>'[1]V, inciso p) (OP)'!AD78</f>
        <v>42656</v>
      </c>
      <c r="F128" s="32" t="str">
        <f>'[1]V, inciso p) (OP)'!I78</f>
        <v>Construcción de la primera etapa de la calle Abasolo de la calle Matamoros a calle 5 de Mayo con concreto hidráulico en Santa Ana Tepetitlan, incluye: guarniciones, banquetas, red de agua potable, alcantarillado y alumbrado público, Municipio de Zapopan, Jalisco.</v>
      </c>
      <c r="G128" s="6" t="s">
        <v>3315</v>
      </c>
      <c r="H128" s="39">
        <v>6796856.54</v>
      </c>
      <c r="I128" s="6" t="str">
        <f>'[1]V, inciso p) (OP)'!AS78</f>
        <v>Santa Ana Tepetitlán</v>
      </c>
      <c r="J128" s="6" t="str">
        <f>'[1]V, inciso p) (OP)'!T78</f>
        <v>Julio Eduardo</v>
      </c>
      <c r="K128" s="7" t="str">
        <f>'[1]V, inciso p) (OP)'!U78</f>
        <v>López</v>
      </c>
      <c r="L128" s="7" t="str">
        <f>'[1]V, inciso p) (OP)'!V78</f>
        <v>Pérez</v>
      </c>
      <c r="M128" s="6" t="s">
        <v>314</v>
      </c>
      <c r="N128" s="7" t="str">
        <f>'[1]V, inciso p) (OP)'!X78</f>
        <v>PEI020208RW0</v>
      </c>
      <c r="O128" s="11">
        <f t="shared" si="4"/>
        <v>6796856.54</v>
      </c>
      <c r="P128" s="11">
        <v>6796856.5388000002</v>
      </c>
      <c r="Q128" s="7" t="s">
        <v>452</v>
      </c>
      <c r="R128" s="11">
        <f>O128/3503</f>
        <v>1940.29590065658</v>
      </c>
      <c r="S128" s="7" t="s">
        <v>41</v>
      </c>
      <c r="T128" s="12">
        <v>5780</v>
      </c>
      <c r="U128" s="13" t="s">
        <v>42</v>
      </c>
      <c r="V128" s="7" t="s">
        <v>43</v>
      </c>
      <c r="W128" s="10">
        <f>'[1]V, inciso p) (OP)'!AM78</f>
        <v>42657</v>
      </c>
      <c r="X128" s="10">
        <f>'[1]V, inciso p) (OP)'!AN78</f>
        <v>42776</v>
      </c>
      <c r="Y128" s="7" t="s">
        <v>323</v>
      </c>
      <c r="Z128" s="7" t="s">
        <v>231</v>
      </c>
      <c r="AA128" s="7" t="s">
        <v>143</v>
      </c>
      <c r="AB128" s="21" t="s">
        <v>1497</v>
      </c>
      <c r="AC128" s="6" t="s">
        <v>2438</v>
      </c>
      <c r="AD128" s="6"/>
    </row>
    <row r="129" spans="1:30" ht="69.95" customHeight="1">
      <c r="A129" s="34">
        <v>117</v>
      </c>
      <c r="B129" s="7">
        <v>2016</v>
      </c>
      <c r="C129" s="6" t="s">
        <v>31</v>
      </c>
      <c r="D129" s="6" t="str">
        <f>'[1]V, inciso p) (OP)'!D79</f>
        <v>DOPI-EST-CR-PAV-LP-117-2016</v>
      </c>
      <c r="E129" s="10">
        <f>'[1]V, inciso p) (OP)'!AD79</f>
        <v>42656</v>
      </c>
      <c r="F129" s="32" t="str">
        <f>'[1]V, inciso p) (OP)'!I79</f>
        <v>Construcción de la primera etapa de la calle Morelos de la calle Matamoros a ingreso a atrio de iglesia con concreto hidráulico en Santa Ana Tepetitlan, incluye: guarniciones, banquetas, red de agua potable, alcantarillado y alumbrado público, Municipio de Zapopan, Jalisco.</v>
      </c>
      <c r="G129" s="6" t="s">
        <v>3315</v>
      </c>
      <c r="H129" s="39">
        <v>1329275.32</v>
      </c>
      <c r="I129" s="6" t="str">
        <f>'[1]V, inciso p) (OP)'!AS79</f>
        <v>Santa Ana Tepetitlán</v>
      </c>
      <c r="J129" s="6" t="str">
        <f>'[1]V, inciso p) (OP)'!T79</f>
        <v>Bernardo</v>
      </c>
      <c r="K129" s="7" t="str">
        <f>'[1]V, inciso p) (OP)'!U79</f>
        <v>Saenz</v>
      </c>
      <c r="L129" s="7" t="str">
        <f>'[1]V, inciso p) (OP)'!V79</f>
        <v>Barba</v>
      </c>
      <c r="M129" s="6" t="s">
        <v>2992</v>
      </c>
      <c r="N129" s="7" t="str">
        <f>'[1]V, inciso p) (OP)'!X79</f>
        <v>GEM070112PX8</v>
      </c>
      <c r="O129" s="11">
        <f t="shared" si="4"/>
        <v>1329275.32</v>
      </c>
      <c r="P129" s="11">
        <v>1329275.31</v>
      </c>
      <c r="Q129" s="7" t="s">
        <v>453</v>
      </c>
      <c r="R129" s="11">
        <f>O129/720</f>
        <v>1846.2157222222222</v>
      </c>
      <c r="S129" s="7" t="s">
        <v>41</v>
      </c>
      <c r="T129" s="12">
        <v>3736</v>
      </c>
      <c r="U129" s="13" t="s">
        <v>42</v>
      </c>
      <c r="V129" s="7" t="s">
        <v>43</v>
      </c>
      <c r="W129" s="10">
        <f>'[1]V, inciso p) (OP)'!AM79</f>
        <v>42657</v>
      </c>
      <c r="X129" s="10">
        <f>'[1]V, inciso p) (OP)'!AN79</f>
        <v>42776</v>
      </c>
      <c r="Y129" s="7" t="s">
        <v>323</v>
      </c>
      <c r="Z129" s="7" t="s">
        <v>231</v>
      </c>
      <c r="AA129" s="7" t="s">
        <v>143</v>
      </c>
      <c r="AB129" s="21" t="s">
        <v>1498</v>
      </c>
      <c r="AC129" s="6" t="s">
        <v>2438</v>
      </c>
      <c r="AD129" s="6"/>
    </row>
    <row r="130" spans="1:30" ht="69.95" customHeight="1">
      <c r="A130" s="34">
        <v>118</v>
      </c>
      <c r="B130" s="7">
        <v>2016</v>
      </c>
      <c r="C130" s="6" t="s">
        <v>31</v>
      </c>
      <c r="D130" s="6" t="str">
        <f>'[1]V, inciso p) (OP)'!D80</f>
        <v>DOPI-EST-CR-PAV-LP-118-2016</v>
      </c>
      <c r="E130" s="10">
        <f>'[1]V, inciso p) (OP)'!AD80</f>
        <v>42656</v>
      </c>
      <c r="F130" s="32" t="str">
        <f>'[1]V, inciso p) (OP)'!I80</f>
        <v>Construcción de la primera etapa de la calle Privada Morelos de calle Morelos a cerrada con concreto hidráulico en Santa Ana Tepetitlan, incluye: guarniciones, banquetas, red de agua potable, alcantarillado y alumbrado público, Municipio de Zapopan, Jalisco.</v>
      </c>
      <c r="G130" s="6" t="s">
        <v>3315</v>
      </c>
      <c r="H130" s="39">
        <v>670861.71</v>
      </c>
      <c r="I130" s="6" t="str">
        <f>'[1]V, inciso p) (OP)'!AS80</f>
        <v>Santa Ana Tepetitlán</v>
      </c>
      <c r="J130" s="6" t="str">
        <f>'[1]V, inciso p) (OP)'!T80</f>
        <v>Bernardo</v>
      </c>
      <c r="K130" s="7" t="str">
        <f>'[1]V, inciso p) (OP)'!U80</f>
        <v>Saenz</v>
      </c>
      <c r="L130" s="7" t="str">
        <f>'[1]V, inciso p) (OP)'!V80</f>
        <v>Barba</v>
      </c>
      <c r="M130" s="6" t="s">
        <v>2992</v>
      </c>
      <c r="N130" s="7" t="str">
        <f>'[1]V, inciso p) (OP)'!X80</f>
        <v>GEM070112PX8</v>
      </c>
      <c r="O130" s="11">
        <f t="shared" si="4"/>
        <v>670861.71</v>
      </c>
      <c r="P130" s="11">
        <v>670816.81999999995</v>
      </c>
      <c r="Q130" s="7" t="s">
        <v>454</v>
      </c>
      <c r="R130" s="11">
        <f>O130/240</f>
        <v>2795.2571249999996</v>
      </c>
      <c r="S130" s="7" t="s">
        <v>41</v>
      </c>
      <c r="T130" s="12">
        <v>3736</v>
      </c>
      <c r="U130" s="13" t="s">
        <v>42</v>
      </c>
      <c r="V130" s="7" t="s">
        <v>43</v>
      </c>
      <c r="W130" s="10">
        <f>'[1]V, inciso p) (OP)'!AM80</f>
        <v>42657</v>
      </c>
      <c r="X130" s="10">
        <f>'[1]V, inciso p) (OP)'!AN80</f>
        <v>42776</v>
      </c>
      <c r="Y130" s="7" t="s">
        <v>323</v>
      </c>
      <c r="Z130" s="7" t="s">
        <v>231</v>
      </c>
      <c r="AA130" s="7" t="s">
        <v>143</v>
      </c>
      <c r="AB130" s="21" t="s">
        <v>1430</v>
      </c>
      <c r="AC130" s="6" t="s">
        <v>2438</v>
      </c>
      <c r="AD130" s="6"/>
    </row>
    <row r="131" spans="1:30" ht="69.95" customHeight="1">
      <c r="A131" s="34">
        <v>119</v>
      </c>
      <c r="B131" s="7">
        <v>2016</v>
      </c>
      <c r="C131" s="6" t="s">
        <v>31</v>
      </c>
      <c r="D131" s="6" t="str">
        <f>'[1]V, inciso p) (OP)'!D81</f>
        <v>DOPI-EST-FC-PAV-LP-119-2016</v>
      </c>
      <c r="E131" s="10">
        <f>'[1]V, inciso p) (OP)'!AD81</f>
        <v>42656</v>
      </c>
      <c r="F131" s="6" t="str">
        <f>'[1]V, inciso p) (OP)'!I81</f>
        <v>Primera etapa de reencarpetamiento de Circuito Madrigal, de Av. Patria a Circuito. Madrigal, Municipio de Zapopan, Jalisco.</v>
      </c>
      <c r="G131" s="6" t="s">
        <v>3316</v>
      </c>
      <c r="H131" s="39">
        <v>8383533</v>
      </c>
      <c r="I131" s="6" t="str">
        <f>'[1]V, inciso p) (OP)'!AS81</f>
        <v>Colonia Santa Isabel</v>
      </c>
      <c r="J131" s="6" t="str">
        <f>'[1]V, inciso p) (OP)'!T81</f>
        <v>Ángel Salomón</v>
      </c>
      <c r="K131" s="7" t="str">
        <f>'[1]V, inciso p) (OP)'!U81</f>
        <v>Rincón</v>
      </c>
      <c r="L131" s="7" t="str">
        <f>'[1]V, inciso p) (OP)'!V81</f>
        <v>De la Rosa</v>
      </c>
      <c r="M131" s="6" t="s">
        <v>2997</v>
      </c>
      <c r="N131" s="7" t="str">
        <f>'[1]V, inciso p) (OP)'!X81</f>
        <v>AAR120507VA9</v>
      </c>
      <c r="O131" s="11">
        <f t="shared" si="4"/>
        <v>8383533</v>
      </c>
      <c r="P131" s="11">
        <v>7370733.9800000004</v>
      </c>
      <c r="Q131" s="7" t="s">
        <v>455</v>
      </c>
      <c r="R131" s="11">
        <f>O131/16290</f>
        <v>514.6429097605893</v>
      </c>
      <c r="S131" s="7" t="s">
        <v>41</v>
      </c>
      <c r="T131" s="12">
        <v>6077</v>
      </c>
      <c r="U131" s="13" t="s">
        <v>42</v>
      </c>
      <c r="V131" s="7" t="s">
        <v>43</v>
      </c>
      <c r="W131" s="10">
        <f>'[1]V, inciso p) (OP)'!AM81</f>
        <v>42657</v>
      </c>
      <c r="X131" s="10">
        <f>'[1]V, inciso p) (OP)'!AN81</f>
        <v>42776</v>
      </c>
      <c r="Y131" s="7" t="s">
        <v>375</v>
      </c>
      <c r="Z131" s="7" t="s">
        <v>252</v>
      </c>
      <c r="AA131" s="7" t="s">
        <v>253</v>
      </c>
      <c r="AB131" s="21" t="s">
        <v>2782</v>
      </c>
      <c r="AC131" s="6" t="s">
        <v>2438</v>
      </c>
      <c r="AD131" s="6"/>
    </row>
    <row r="132" spans="1:30" ht="69.95" customHeight="1">
      <c r="A132" s="34">
        <v>120</v>
      </c>
      <c r="B132" s="7">
        <v>2016</v>
      </c>
      <c r="C132" s="6" t="s">
        <v>31</v>
      </c>
      <c r="D132" s="6" t="str">
        <f>'[1]V, inciso p) (OP)'!D82</f>
        <v>DOPI-EST-FC-PAV-LP-120-2016</v>
      </c>
      <c r="E132" s="10">
        <f>'[1]V, inciso p) (OP)'!AD82</f>
        <v>42656</v>
      </c>
      <c r="F132" s="6" t="str">
        <f>'[1]V, inciso p) (OP)'!I82</f>
        <v>Primera etapa de modernización de Prolongación Av. Guadalupe, de Prolongación Mariano Otero al Arroyo El Garabato, Municipio de Zapopan, Jalisco.</v>
      </c>
      <c r="G132" s="6" t="s">
        <v>3316</v>
      </c>
      <c r="H132" s="38">
        <f>6899699.69+940300.31</f>
        <v>7840000</v>
      </c>
      <c r="I132" s="6" t="str">
        <f>'[1]V, inciso p) (OP)'!AS82</f>
        <v>Colonia El Fortín</v>
      </c>
      <c r="J132" s="6" t="str">
        <f>'[1]V, inciso p) (OP)'!T82</f>
        <v>Sergio Cesar</v>
      </c>
      <c r="K132" s="7" t="str">
        <f>'[1]V, inciso p) (OP)'!U82</f>
        <v>Diaz</v>
      </c>
      <c r="L132" s="7" t="str">
        <f>'[1]V, inciso p) (OP)'!V82</f>
        <v>Quiroz</v>
      </c>
      <c r="M132" s="6" t="s">
        <v>2999</v>
      </c>
      <c r="N132" s="7" t="str">
        <f>'[1]V, inciso p) (OP)'!X82</f>
        <v>GUM111201IA5</v>
      </c>
      <c r="O132" s="11">
        <f t="shared" si="4"/>
        <v>7840000</v>
      </c>
      <c r="P132" s="11">
        <v>7840000</v>
      </c>
      <c r="Q132" s="7" t="s">
        <v>456</v>
      </c>
      <c r="R132" s="11">
        <f>O132/4814</f>
        <v>1628.5832987120898</v>
      </c>
      <c r="S132" s="7" t="s">
        <v>41</v>
      </c>
      <c r="T132" s="12">
        <v>5783</v>
      </c>
      <c r="U132" s="13" t="s">
        <v>42</v>
      </c>
      <c r="V132" s="7" t="s">
        <v>43</v>
      </c>
      <c r="W132" s="10">
        <f>'[1]V, inciso p) (OP)'!AM82</f>
        <v>42657</v>
      </c>
      <c r="X132" s="10">
        <f>'[1]V, inciso p) (OP)'!AN82</f>
        <v>42776</v>
      </c>
      <c r="Y132" s="7" t="s">
        <v>323</v>
      </c>
      <c r="Z132" s="7" t="s">
        <v>231</v>
      </c>
      <c r="AA132" s="7" t="s">
        <v>143</v>
      </c>
      <c r="AB132" s="21" t="s">
        <v>1431</v>
      </c>
      <c r="AC132" s="6" t="s">
        <v>2438</v>
      </c>
      <c r="AD132" s="6"/>
    </row>
    <row r="133" spans="1:30" ht="69.95" customHeight="1">
      <c r="A133" s="34">
        <v>121</v>
      </c>
      <c r="B133" s="7">
        <v>2016</v>
      </c>
      <c r="C133" s="6" t="s">
        <v>31</v>
      </c>
      <c r="D133" s="6" t="str">
        <f>'[1]V, inciso p) (OP)'!D83</f>
        <v>DOPI-EST-FC-PAV-LP-121-2016</v>
      </c>
      <c r="E133" s="10">
        <f>'[1]V, inciso p) (OP)'!AD83</f>
        <v>42685</v>
      </c>
      <c r="F133" s="6" t="str">
        <f>'[1]V, inciso p) (OP)'!I83</f>
        <v>Primera etapa de reencarpetamiento y sustitución de losas de la Av. Nicolás Copérnico- Av. Ladrón de Guevara, de Av. Moctezuma a Av. Mariano Otero, Municipio de Zapopan, Jalisco.</v>
      </c>
      <c r="G133" s="6" t="s">
        <v>3316</v>
      </c>
      <c r="H133" s="39">
        <v>4854770.4400000004</v>
      </c>
      <c r="I133" s="6" t="str">
        <f>'[1]V, inciso p) (OP)'!AS83</f>
        <v>Colonia Paseos del Sol</v>
      </c>
      <c r="J133" s="6" t="str">
        <f>'[1]V, inciso p) (OP)'!T83</f>
        <v>Mario</v>
      </c>
      <c r="K133" s="7" t="str">
        <f>'[1]V, inciso p) (OP)'!U83</f>
        <v>Beltrán</v>
      </c>
      <c r="L133" s="7" t="str">
        <f>'[1]V, inciso p) (OP)'!V83</f>
        <v>Rodríguez</v>
      </c>
      <c r="M133" s="6" t="s">
        <v>2998</v>
      </c>
      <c r="N133" s="7" t="str">
        <f>'[1]V, inciso p) (OP)'!X83</f>
        <v>CDB0506068Z4</v>
      </c>
      <c r="O133" s="11">
        <f t="shared" si="4"/>
        <v>4854770.4400000004</v>
      </c>
      <c r="P133" s="11">
        <v>4854770.4399999995</v>
      </c>
      <c r="Q133" s="7" t="s">
        <v>457</v>
      </c>
      <c r="R133" s="11">
        <f>O133/3015</f>
        <v>1610.2057844112771</v>
      </c>
      <c r="S133" s="7" t="s">
        <v>41</v>
      </c>
      <c r="T133" s="12">
        <v>22852</v>
      </c>
      <c r="U133" s="13" t="s">
        <v>42</v>
      </c>
      <c r="V133" s="7" t="s">
        <v>43</v>
      </c>
      <c r="W133" s="10">
        <f>'[1]V, inciso p) (OP)'!AM83</f>
        <v>42688</v>
      </c>
      <c r="X133" s="10">
        <f>'[1]V, inciso p) (OP)'!AN83</f>
        <v>42807</v>
      </c>
      <c r="Y133" s="7" t="s">
        <v>431</v>
      </c>
      <c r="Z133" s="7" t="s">
        <v>181</v>
      </c>
      <c r="AA133" s="7" t="s">
        <v>89</v>
      </c>
      <c r="AB133" s="21" t="s">
        <v>2783</v>
      </c>
      <c r="AC133" s="6" t="s">
        <v>2438</v>
      </c>
      <c r="AD133" s="6"/>
    </row>
    <row r="134" spans="1:30" ht="69.95" customHeight="1">
      <c r="A134" s="34">
        <v>122</v>
      </c>
      <c r="B134" s="7">
        <v>2016</v>
      </c>
      <c r="C134" s="6" t="s">
        <v>31</v>
      </c>
      <c r="D134" s="6" t="str">
        <f>'[1]V, inciso p) (OP)'!D84</f>
        <v>DOPI-EST-FC-PAV-LP-122-2016</v>
      </c>
      <c r="E134" s="10">
        <f>'[1]V, inciso p) (OP)'!AD84</f>
        <v>42685</v>
      </c>
      <c r="F134" s="6" t="str">
        <f>'[1]V, inciso p) (OP)'!I84</f>
        <v>Primera etapa de reencarpetamiento y sustitución de losas de Av. Valle de Atemajac, de Av. López Mateos a Sierra de Tapalpa, Municipio de Zapopan, Jalisco.</v>
      </c>
      <c r="G134" s="6" t="s">
        <v>3316</v>
      </c>
      <c r="H134" s="39">
        <v>4741926.8099999996</v>
      </c>
      <c r="I134" s="6" t="str">
        <f>'[1]V, inciso p) (OP)'!AS84</f>
        <v>Colonia Las Aguilas</v>
      </c>
      <c r="J134" s="6" t="str">
        <f>'[1]V, inciso p) (OP)'!T84</f>
        <v>Mario</v>
      </c>
      <c r="K134" s="7" t="str">
        <f>'[1]V, inciso p) (OP)'!U84</f>
        <v>Beltrán</v>
      </c>
      <c r="L134" s="7" t="str">
        <f>'[1]V, inciso p) (OP)'!V84</f>
        <v>Rodríguez</v>
      </c>
      <c r="M134" s="6" t="s">
        <v>2998</v>
      </c>
      <c r="N134" s="7" t="str">
        <f>'[1]V, inciso p) (OP)'!X84</f>
        <v>CDB0506068Z4</v>
      </c>
      <c r="O134" s="11">
        <f t="shared" si="4"/>
        <v>4741926.8099999996</v>
      </c>
      <c r="P134" s="11">
        <v>4741926.8</v>
      </c>
      <c r="Q134" s="7" t="s">
        <v>458</v>
      </c>
      <c r="R134" s="11">
        <f>O134/6069</f>
        <v>781.33577360355901</v>
      </c>
      <c r="S134" s="7" t="s">
        <v>41</v>
      </c>
      <c r="T134" s="12">
        <v>16486</v>
      </c>
      <c r="U134" s="13" t="s">
        <v>42</v>
      </c>
      <c r="V134" s="7" t="s">
        <v>43</v>
      </c>
      <c r="W134" s="10">
        <f>'[1]V, inciso p) (OP)'!AM84</f>
        <v>42688</v>
      </c>
      <c r="X134" s="10">
        <f>'[1]V, inciso p) (OP)'!AN84</f>
        <v>42807</v>
      </c>
      <c r="Y134" s="7" t="s">
        <v>431</v>
      </c>
      <c r="Z134" s="7" t="s">
        <v>181</v>
      </c>
      <c r="AA134" s="7" t="s">
        <v>89</v>
      </c>
      <c r="AB134" s="21" t="s">
        <v>2784</v>
      </c>
      <c r="AC134" s="6" t="s">
        <v>2438</v>
      </c>
      <c r="AD134" s="6"/>
    </row>
    <row r="135" spans="1:30" ht="69.95" customHeight="1">
      <c r="A135" s="34">
        <v>123</v>
      </c>
      <c r="B135" s="7">
        <v>2016</v>
      </c>
      <c r="C135" s="6" t="s">
        <v>31</v>
      </c>
      <c r="D135" s="6" t="str">
        <f>'[1]V, inciso p) (OP)'!D85</f>
        <v>DOPI-EST-FC-PAV-LP-123-2016</v>
      </c>
      <c r="E135" s="10">
        <f>'[1]V, inciso p) (OP)'!AD85</f>
        <v>42685</v>
      </c>
      <c r="F135" s="6" t="str">
        <f>'[1]V, inciso p) (OP)'!I85</f>
        <v>Construcción de nueva celda para la disposición de residuos, primera etapa, en el vertedero de basura Picachos, Municipio de Zapopan, Jalisco</v>
      </c>
      <c r="G135" s="6" t="s">
        <v>3316</v>
      </c>
      <c r="H135" s="39">
        <v>6860000</v>
      </c>
      <c r="I135" s="6" t="str">
        <f>'[1]V, inciso p) (OP)'!AS85</f>
        <v>Relleno Sanitario de Picachos</v>
      </c>
      <c r="J135" s="6" t="str">
        <f>'[1]V, inciso p) (OP)'!T85</f>
        <v>Jesús David</v>
      </c>
      <c r="K135" s="7" t="str">
        <f>'[1]V, inciso p) (OP)'!U85</f>
        <v>Garza</v>
      </c>
      <c r="L135" s="7" t="str">
        <f>'[1]V, inciso p) (OP)'!V85</f>
        <v>Garcia</v>
      </c>
      <c r="M135" s="6" t="s">
        <v>3003</v>
      </c>
      <c r="N135" s="7" t="str">
        <f>'[1]V, inciso p) (OP)'!X85</f>
        <v>CEA010615GT0</v>
      </c>
      <c r="O135" s="11">
        <f t="shared" si="4"/>
        <v>6860000</v>
      </c>
      <c r="P135" s="11">
        <v>6860000.0099999998</v>
      </c>
      <c r="Q135" s="7" t="s">
        <v>459</v>
      </c>
      <c r="R135" s="11">
        <f>O135/14859.03</f>
        <v>461.67212799220403</v>
      </c>
      <c r="S135" s="7" t="s">
        <v>41</v>
      </c>
      <c r="T135" s="12">
        <v>1243756</v>
      </c>
      <c r="U135" s="13" t="s">
        <v>42</v>
      </c>
      <c r="V135" s="7" t="s">
        <v>43</v>
      </c>
      <c r="W135" s="10">
        <f>'[1]V, inciso p) (OP)'!AM85</f>
        <v>42688</v>
      </c>
      <c r="X135" s="10">
        <f>'[1]V, inciso p) (OP)'!AN85</f>
        <v>42504</v>
      </c>
      <c r="Y135" s="7" t="s">
        <v>460</v>
      </c>
      <c r="Z135" s="7" t="s">
        <v>302</v>
      </c>
      <c r="AA135" s="7" t="s">
        <v>303</v>
      </c>
      <c r="AB135" s="21" t="s">
        <v>1432</v>
      </c>
      <c r="AC135" s="6" t="s">
        <v>2438</v>
      </c>
      <c r="AD135" s="6"/>
    </row>
    <row r="136" spans="1:30" ht="69.95" customHeight="1">
      <c r="A136" s="34">
        <v>124</v>
      </c>
      <c r="B136" s="7">
        <v>2016</v>
      </c>
      <c r="C136" s="6" t="s">
        <v>31</v>
      </c>
      <c r="D136" s="6" t="str">
        <f>'[1]V, inciso p) (OP)'!D86</f>
        <v>DOPI-MUN-PR-EP-LP-124-2016</v>
      </c>
      <c r="E136" s="10">
        <f>'[1]V, inciso p) (OP)'!AD86</f>
        <v>42685</v>
      </c>
      <c r="F136" s="6" t="str">
        <f>'[1]V, inciso p) (OP)'!I86</f>
        <v>Rehabilitación de instalaciones y construcción de Centro Comunitario dentro de la Unidad Deportiva del Polvorín, Municipio de Zapopan, Jalisco, frente 1.</v>
      </c>
      <c r="G136" s="6" t="s">
        <v>3313</v>
      </c>
      <c r="H136" s="39">
        <v>9020991.0099999998</v>
      </c>
      <c r="I136" s="6" t="str">
        <f>'[1]V, inciso p) (OP)'!AS86</f>
        <v>Colonia Guadalajarita</v>
      </c>
      <c r="J136" s="6" t="str">
        <f>'[1]V, inciso p) (OP)'!T86</f>
        <v xml:space="preserve">Leobardo </v>
      </c>
      <c r="K136" s="7" t="str">
        <f>'[1]V, inciso p) (OP)'!U86</f>
        <v>Preciado</v>
      </c>
      <c r="L136" s="7" t="str">
        <f>'[1]V, inciso p) (OP)'!V86</f>
        <v>Zepeda</v>
      </c>
      <c r="M136" s="6" t="s">
        <v>3004</v>
      </c>
      <c r="N136" s="7" t="str">
        <f>'[1]V, inciso p) (OP)'!X86</f>
        <v>CCA971126QC9</v>
      </c>
      <c r="O136" s="11">
        <f t="shared" si="4"/>
        <v>9020991.0099999998</v>
      </c>
      <c r="P136" s="11">
        <v>9019991</v>
      </c>
      <c r="Q136" s="7" t="s">
        <v>461</v>
      </c>
      <c r="R136" s="11">
        <f>O136/816.76</f>
        <v>11044.849172339487</v>
      </c>
      <c r="S136" s="7" t="s">
        <v>41</v>
      </c>
      <c r="T136" s="12">
        <v>2184</v>
      </c>
      <c r="U136" s="13" t="s">
        <v>42</v>
      </c>
      <c r="V136" s="7" t="s">
        <v>43</v>
      </c>
      <c r="W136" s="10">
        <f>'[1]V, inciso p) (OP)'!AM86</f>
        <v>42688</v>
      </c>
      <c r="X136" s="10">
        <f>'[1]V, inciso p) (OP)'!AN86</f>
        <v>42763</v>
      </c>
      <c r="Y136" s="7" t="s">
        <v>462</v>
      </c>
      <c r="Z136" s="7" t="s">
        <v>138</v>
      </c>
      <c r="AA136" s="7" t="s">
        <v>463</v>
      </c>
      <c r="AB136" s="21" t="s">
        <v>1499</v>
      </c>
      <c r="AC136" s="6" t="s">
        <v>2438</v>
      </c>
      <c r="AD136" s="6"/>
    </row>
    <row r="137" spans="1:30" ht="69.95" customHeight="1">
      <c r="A137" s="34">
        <v>125</v>
      </c>
      <c r="B137" s="7">
        <v>2016</v>
      </c>
      <c r="C137" s="6" t="s">
        <v>31</v>
      </c>
      <c r="D137" s="6" t="str">
        <f>'[1]V, inciso p) (OP)'!D87</f>
        <v>DOPI-MUN-PR-EP-LP-125-2016</v>
      </c>
      <c r="E137" s="10">
        <f>'[1]V, inciso p) (OP)'!AD87</f>
        <v>42685</v>
      </c>
      <c r="F137" s="6" t="str">
        <f>'[1]V, inciso p) (OP)'!I87</f>
        <v>Rehabilitación de instalaciones y construcción de Centro Comunitario dentro de la Unidad Deportiva del Polvorín, Municipio de Zapopan, Jalisco, frente 2.</v>
      </c>
      <c r="G137" s="6" t="s">
        <v>3313</v>
      </c>
      <c r="H137" s="39">
        <v>5098902.66</v>
      </c>
      <c r="I137" s="6" t="str">
        <f>'[1]V, inciso p) (OP)'!AS87</f>
        <v>Colonia Guadalajarita</v>
      </c>
      <c r="J137" s="6" t="str">
        <f>'[1]V, inciso p) (OP)'!T87</f>
        <v>Marco Antonio</v>
      </c>
      <c r="K137" s="7" t="str">
        <f>'[1]V, inciso p) (OP)'!U87</f>
        <v>Cortés</v>
      </c>
      <c r="L137" s="7" t="str">
        <f>'[1]V, inciso p) (OP)'!V87</f>
        <v>González</v>
      </c>
      <c r="M137" s="6" t="s">
        <v>145</v>
      </c>
      <c r="N137" s="7" t="str">
        <f>'[1]V, inciso p) (OP)'!X87</f>
        <v>GTM050418384</v>
      </c>
      <c r="O137" s="11">
        <f t="shared" si="4"/>
        <v>5098902.66</v>
      </c>
      <c r="P137" s="11">
        <v>5098902.6651999997</v>
      </c>
      <c r="Q137" s="7" t="s">
        <v>464</v>
      </c>
      <c r="R137" s="11">
        <f>O137/4876.75</f>
        <v>1045.5534238991131</v>
      </c>
      <c r="S137" s="7" t="s">
        <v>41</v>
      </c>
      <c r="T137" s="12">
        <v>2184</v>
      </c>
      <c r="U137" s="13" t="s">
        <v>42</v>
      </c>
      <c r="V137" s="7" t="s">
        <v>43</v>
      </c>
      <c r="W137" s="10">
        <f>'[1]V, inciso p) (OP)'!AM87</f>
        <v>42688</v>
      </c>
      <c r="X137" s="10">
        <f>'[1]V, inciso p) (OP)'!AN87</f>
        <v>42763</v>
      </c>
      <c r="Y137" s="7" t="s">
        <v>462</v>
      </c>
      <c r="Z137" s="7" t="s">
        <v>138</v>
      </c>
      <c r="AA137" s="7" t="s">
        <v>463</v>
      </c>
      <c r="AB137" s="21" t="s">
        <v>1433</v>
      </c>
      <c r="AC137" s="6" t="s">
        <v>2438</v>
      </c>
      <c r="AD137" s="6"/>
    </row>
    <row r="138" spans="1:30" ht="69.95" customHeight="1">
      <c r="A138" s="34">
        <v>126</v>
      </c>
      <c r="B138" s="7">
        <v>2016</v>
      </c>
      <c r="C138" s="6" t="s">
        <v>62</v>
      </c>
      <c r="D138" s="6" t="str">
        <f>'[1]V, inciso o) (OP)'!C58</f>
        <v>DOPI-MUN-RM-BAN-AD-126-2016</v>
      </c>
      <c r="E138" s="10">
        <f>'[1]V, inciso o) (OP)'!V58</f>
        <v>42559</v>
      </c>
      <c r="F138" s="6" t="str">
        <f>'[1]V, inciso o) (OP)'!AA58</f>
        <v>Peatonalización, construcción de banquetas, sustitución de guarniciones, bolardos, complemento de reencarpetado y sello tramo 1 de la Av. Pablo Neruda, municipio de Zapopan, Jalisco</v>
      </c>
      <c r="G138" s="6" t="s">
        <v>3308</v>
      </c>
      <c r="H138" s="39">
        <v>1497870.11</v>
      </c>
      <c r="I138" s="6" t="s">
        <v>465</v>
      </c>
      <c r="J138" s="6" t="str">
        <f>'[1]V, inciso o) (OP)'!M58</f>
        <v>Guillermo</v>
      </c>
      <c r="K138" s="7" t="str">
        <f>'[1]V, inciso o) (OP)'!N58</f>
        <v>Lara</v>
      </c>
      <c r="L138" s="7" t="str">
        <f>'[1]V, inciso o) (OP)'!O58</f>
        <v>Vargas</v>
      </c>
      <c r="M138" s="6" t="s">
        <v>3005</v>
      </c>
      <c r="N138" s="7" t="str">
        <f>'[1]V, inciso o) (OP)'!Q58</f>
        <v>DGL060620SUA</v>
      </c>
      <c r="O138" s="11">
        <f t="shared" si="4"/>
        <v>1497870.11</v>
      </c>
      <c r="P138" s="11">
        <v>1170755.7</v>
      </c>
      <c r="Q138" s="7" t="s">
        <v>466</v>
      </c>
      <c r="R138" s="11">
        <f>O138/1236</f>
        <v>1211.8690210355987</v>
      </c>
      <c r="S138" s="7" t="s">
        <v>41</v>
      </c>
      <c r="T138" s="12">
        <v>5427</v>
      </c>
      <c r="U138" s="13" t="s">
        <v>42</v>
      </c>
      <c r="V138" s="7" t="s">
        <v>43</v>
      </c>
      <c r="W138" s="10">
        <f>'[1]V, inciso o) (OP)'!AD58</f>
        <v>42562</v>
      </c>
      <c r="X138" s="10">
        <f>'[1]V, inciso o) (OP)'!AE58</f>
        <v>42598</v>
      </c>
      <c r="Y138" s="7" t="s">
        <v>345</v>
      </c>
      <c r="Z138" s="7" t="s">
        <v>346</v>
      </c>
      <c r="AA138" s="7" t="s">
        <v>347</v>
      </c>
      <c r="AB138" s="21" t="s">
        <v>1434</v>
      </c>
      <c r="AC138" s="6" t="s">
        <v>2438</v>
      </c>
      <c r="AD138" s="6"/>
    </row>
    <row r="139" spans="1:30" ht="69.95" customHeight="1">
      <c r="A139" s="34">
        <v>127</v>
      </c>
      <c r="B139" s="7">
        <v>2016</v>
      </c>
      <c r="C139" s="6" t="s">
        <v>62</v>
      </c>
      <c r="D139" s="6" t="str">
        <f>'[1]V, inciso o) (OP)'!C59</f>
        <v>DOPI-MUN-RM-PAV-AD-127-2016</v>
      </c>
      <c r="E139" s="10">
        <f>'[1]V, inciso o) (OP)'!V59</f>
        <v>42559</v>
      </c>
      <c r="F139" s="6" t="str">
        <f>'[1]V, inciso o) (OP)'!AA59</f>
        <v>Peatonalización, construcción de banquetas, sustitución de guarniciones, bolardos, complemento de reencarpetado y sello tramo 2 de la Av. Pablo Neruda, municipio de Zapopan, Jalisco</v>
      </c>
      <c r="G139" s="6" t="s">
        <v>3308</v>
      </c>
      <c r="H139" s="39">
        <v>1439130.15</v>
      </c>
      <c r="I139" s="6" t="s">
        <v>465</v>
      </c>
      <c r="J139" s="6" t="str">
        <f>'[1]V, inciso o) (OP)'!M59</f>
        <v>David Eduardo</v>
      </c>
      <c r="K139" s="7" t="str">
        <f>'[1]V, inciso o) (OP)'!N59</f>
        <v>Lara</v>
      </c>
      <c r="L139" s="7" t="str">
        <f>'[1]V, inciso o) (OP)'!O59</f>
        <v>Ochoa</v>
      </c>
      <c r="M139" s="6" t="s">
        <v>3006</v>
      </c>
      <c r="N139" s="7" t="str">
        <f>'[1]V, inciso o) (OP)'!Q59</f>
        <v>CIC080626ER2</v>
      </c>
      <c r="O139" s="11">
        <f t="shared" si="4"/>
        <v>1439130.15</v>
      </c>
      <c r="P139" s="11">
        <v>993193.66</v>
      </c>
      <c r="Q139" s="7" t="s">
        <v>467</v>
      </c>
      <c r="R139" s="11">
        <f>O139/1224</f>
        <v>1175.7599264705882</v>
      </c>
      <c r="S139" s="7" t="s">
        <v>41</v>
      </c>
      <c r="T139" s="12">
        <v>5427</v>
      </c>
      <c r="U139" s="13" t="s">
        <v>42</v>
      </c>
      <c r="V139" s="7" t="s">
        <v>43</v>
      </c>
      <c r="W139" s="10">
        <f>'[1]V, inciso o) (OP)'!AD59</f>
        <v>42562</v>
      </c>
      <c r="X139" s="10">
        <f>'[1]V, inciso o) (OP)'!AE59</f>
        <v>42598</v>
      </c>
      <c r="Y139" s="7" t="s">
        <v>345</v>
      </c>
      <c r="Z139" s="7" t="s">
        <v>346</v>
      </c>
      <c r="AA139" s="7" t="s">
        <v>347</v>
      </c>
      <c r="AB139" s="21" t="s">
        <v>2556</v>
      </c>
      <c r="AC139" s="6" t="s">
        <v>2438</v>
      </c>
      <c r="AD139" s="6"/>
    </row>
    <row r="140" spans="1:30" ht="69.95" customHeight="1">
      <c r="A140" s="34">
        <v>128</v>
      </c>
      <c r="B140" s="7">
        <v>2016</v>
      </c>
      <c r="C140" s="6" t="s">
        <v>62</v>
      </c>
      <c r="D140" s="6" t="str">
        <f>'[1]V, inciso o) (OP)'!C60</f>
        <v>DOPI-MUN-RM-PAV-AD-128-2016</v>
      </c>
      <c r="E140" s="10">
        <f>'[1]V, inciso o) (OP)'!V60</f>
        <v>42566</v>
      </c>
      <c r="F140" s="32" t="str">
        <f>'[1]V, inciso o) (OP)'!AA60</f>
        <v>Construcción de banquetas, bolardos, sustitución de rejillas pluviales, rehabilitación de bocas de tormenta, aproches y arbolado en el tramo poniente de la Glorieta Venustiano Carranza en la colonia Constitución, municipio de Zapopan, Jalisco</v>
      </c>
      <c r="G140" s="6" t="s">
        <v>3308</v>
      </c>
      <c r="H140" s="39">
        <v>1497520.4400000002</v>
      </c>
      <c r="I140" s="6" t="s">
        <v>468</v>
      </c>
      <c r="J140" s="6" t="str">
        <f>'[1]V, inciso o) (OP)'!M60</f>
        <v>Adalberto</v>
      </c>
      <c r="K140" s="7" t="str">
        <f>'[1]V, inciso o) (OP)'!N60</f>
        <v>Medina</v>
      </c>
      <c r="L140" s="7" t="str">
        <f>'[1]V, inciso o) (OP)'!O60</f>
        <v>Morales</v>
      </c>
      <c r="M140" s="6" t="s">
        <v>3007</v>
      </c>
      <c r="N140" s="7" t="str">
        <f>'[1]V, inciso o) (OP)'!Q60</f>
        <v>URD130830U21</v>
      </c>
      <c r="O140" s="11">
        <f t="shared" si="4"/>
        <v>1497520.4400000002</v>
      </c>
      <c r="P140" s="11">
        <v>1465693.875</v>
      </c>
      <c r="Q140" s="7" t="s">
        <v>469</v>
      </c>
      <c r="R140" s="11">
        <f>O140/621</f>
        <v>2411.4660869565218</v>
      </c>
      <c r="S140" s="7" t="s">
        <v>41</v>
      </c>
      <c r="T140" s="12">
        <v>27515</v>
      </c>
      <c r="U140" s="13" t="s">
        <v>42</v>
      </c>
      <c r="V140" s="7" t="s">
        <v>43</v>
      </c>
      <c r="W140" s="10">
        <f>'[1]V, inciso o) (OP)'!AD60</f>
        <v>42569</v>
      </c>
      <c r="X140" s="10">
        <f>'[1]V, inciso o) (OP)'!AE60</f>
        <v>42613</v>
      </c>
      <c r="Y140" s="7" t="s">
        <v>470</v>
      </c>
      <c r="Z140" s="7" t="s">
        <v>412</v>
      </c>
      <c r="AA140" s="7" t="s">
        <v>413</v>
      </c>
      <c r="AB140" s="21" t="s">
        <v>1500</v>
      </c>
      <c r="AC140" s="6" t="s">
        <v>2438</v>
      </c>
      <c r="AD140" s="6"/>
    </row>
    <row r="141" spans="1:30" ht="69.95" customHeight="1">
      <c r="A141" s="34">
        <v>129</v>
      </c>
      <c r="B141" s="7">
        <v>2016</v>
      </c>
      <c r="C141" s="6" t="s">
        <v>62</v>
      </c>
      <c r="D141" s="6" t="str">
        <f>'[1]V, inciso o) (OP)'!C61</f>
        <v>DOPI-MUN-RM-PAV-AD-129-2016</v>
      </c>
      <c r="E141" s="10">
        <f>'[1]V, inciso o) (OP)'!V61</f>
        <v>42566</v>
      </c>
      <c r="F141" s="32" t="str">
        <f>'[1]V, inciso o) (OP)'!AA61</f>
        <v>Construcción de banquetas, bolardos, sustitución de rejillas pluviales, rehabilitación de bocas de tormenta, aproches y arbolado en el tramo oriente de la Glorieta Venustiano Carranza en la colonia Constitución, municipio de Zapopan, Jalisco</v>
      </c>
      <c r="G141" s="6" t="s">
        <v>3308</v>
      </c>
      <c r="H141" s="39">
        <v>1499415.54</v>
      </c>
      <c r="I141" s="6" t="s">
        <v>468</v>
      </c>
      <c r="J141" s="6" t="str">
        <f>'[1]V, inciso o) (OP)'!M61</f>
        <v>Arturo Rafael</v>
      </c>
      <c r="K141" s="7" t="str">
        <f>'[1]V, inciso o) (OP)'!N61</f>
        <v>Salazar</v>
      </c>
      <c r="L141" s="7" t="str">
        <f>'[1]V, inciso o) (OP)'!O61</f>
        <v>Martín del Campo</v>
      </c>
      <c r="M141" s="6" t="s">
        <v>3008</v>
      </c>
      <c r="N141" s="7" t="str">
        <f>'[1]V, inciso o) (OP)'!Q61</f>
        <v>KCO030922UM6</v>
      </c>
      <c r="O141" s="11">
        <f t="shared" si="4"/>
        <v>1499415.54</v>
      </c>
      <c r="P141" s="11">
        <v>1499400.36</v>
      </c>
      <c r="Q141" s="7" t="s">
        <v>471</v>
      </c>
      <c r="R141" s="11">
        <f>O141/653</f>
        <v>2296.1953139356815</v>
      </c>
      <c r="S141" s="7" t="s">
        <v>41</v>
      </c>
      <c r="T141" s="12">
        <v>27515</v>
      </c>
      <c r="U141" s="13" t="s">
        <v>42</v>
      </c>
      <c r="V141" s="7" t="s">
        <v>43</v>
      </c>
      <c r="W141" s="10">
        <f>'[1]V, inciso o) (OP)'!AD61</f>
        <v>42569</v>
      </c>
      <c r="X141" s="10">
        <f>'[1]V, inciso o) (OP)'!AE61</f>
        <v>42613</v>
      </c>
      <c r="Y141" s="7" t="s">
        <v>470</v>
      </c>
      <c r="Z141" s="7" t="s">
        <v>412</v>
      </c>
      <c r="AA141" s="7" t="s">
        <v>413</v>
      </c>
      <c r="AB141" s="21" t="s">
        <v>2557</v>
      </c>
      <c r="AC141" s="6" t="s">
        <v>2438</v>
      </c>
      <c r="AD141" s="6"/>
    </row>
    <row r="142" spans="1:30" ht="69.95" customHeight="1">
      <c r="A142" s="34">
        <v>130</v>
      </c>
      <c r="B142" s="7">
        <v>2016</v>
      </c>
      <c r="C142" s="6" t="s">
        <v>62</v>
      </c>
      <c r="D142" s="6" t="str">
        <f>'[1]V, inciso o) (OP)'!C62</f>
        <v>DOPI-MUN-RM-PAV-AD-130-2016</v>
      </c>
      <c r="E142" s="10">
        <f>'[1]V, inciso o) (OP)'!V62</f>
        <v>42566</v>
      </c>
      <c r="F142" s="32" t="str">
        <f>'[1]V, inciso o) (OP)'!AA62</f>
        <v>Construcción de Motor Lobby con concreto hidráulico en la plazoleta, plazoleta de acceso, acceso a estacionamiento y colocación de arbolado en la Glorieta Venustiano Carranza colonia Constitución, municipio de Zapopan, Jalisco</v>
      </c>
      <c r="G142" s="6" t="s">
        <v>3308</v>
      </c>
      <c r="H142" s="39">
        <v>1373625.4800000002</v>
      </c>
      <c r="I142" s="6" t="s">
        <v>468</v>
      </c>
      <c r="J142" s="6" t="str">
        <f>'[1]V, inciso o) (OP)'!M62</f>
        <v>Sergio Cesar</v>
      </c>
      <c r="K142" s="7" t="str">
        <f>'[1]V, inciso o) (OP)'!N62</f>
        <v>Díaz</v>
      </c>
      <c r="L142" s="7" t="str">
        <f>'[1]V, inciso o) (OP)'!O62</f>
        <v>Quiroz</v>
      </c>
      <c r="M142" s="6" t="s">
        <v>2967</v>
      </c>
      <c r="N142" s="7" t="str">
        <f>'[1]V, inciso o) (OP)'!Q62</f>
        <v>TRA750528286</v>
      </c>
      <c r="O142" s="11">
        <f t="shared" si="4"/>
        <v>1373625.4800000002</v>
      </c>
      <c r="P142" s="11">
        <v>1373625.49</v>
      </c>
      <c r="Q142" s="7" t="s">
        <v>472</v>
      </c>
      <c r="R142" s="11">
        <f>O142/558</f>
        <v>2461.6944086021508</v>
      </c>
      <c r="S142" s="7" t="s">
        <v>41</v>
      </c>
      <c r="T142" s="12">
        <v>27515</v>
      </c>
      <c r="U142" s="13" t="s">
        <v>42</v>
      </c>
      <c r="V142" s="7" t="s">
        <v>43</v>
      </c>
      <c r="W142" s="10">
        <f>'[1]V, inciso o) (OP)'!AD62</f>
        <v>42569</v>
      </c>
      <c r="X142" s="10">
        <f>'[1]V, inciso o) (OP)'!AE62</f>
        <v>42613</v>
      </c>
      <c r="Y142" s="7" t="s">
        <v>470</v>
      </c>
      <c r="Z142" s="7" t="s">
        <v>412</v>
      </c>
      <c r="AA142" s="7" t="s">
        <v>413</v>
      </c>
      <c r="AB142" s="21" t="s">
        <v>2558</v>
      </c>
      <c r="AC142" s="6" t="s">
        <v>2438</v>
      </c>
      <c r="AD142" s="6"/>
    </row>
    <row r="143" spans="1:30" ht="69.95" customHeight="1">
      <c r="A143" s="34">
        <v>131</v>
      </c>
      <c r="B143" s="7">
        <v>2016</v>
      </c>
      <c r="C143" s="6" t="s">
        <v>62</v>
      </c>
      <c r="D143" s="6" t="str">
        <f>'[1]V, inciso o) (OP)'!C63</f>
        <v>DOPI-MUN-RM-PAV-AD-131-2016</v>
      </c>
      <c r="E143" s="10">
        <f>'[1]V, inciso o) (OP)'!V63</f>
        <v>42566</v>
      </c>
      <c r="F143" s="32" t="str">
        <f>'[1]V, inciso o) (OP)'!AA63</f>
        <v>Repavimentación, sello Slurry Seal, nivelación de pozos de visita y cajas de válvulas, sustitución de rejillas pluviales y señalética horizontal y vertical en la calle Lomas Altas de límite municipal y la glorieta del paseo de la Canadá y en la calle La Cima de la calle Lomas Altas a Glorieta, en la colonia Lomas Altas, municipio de Zapopan, Jalisco.</v>
      </c>
      <c r="G143" s="6" t="s">
        <v>3308</v>
      </c>
      <c r="H143" s="39">
        <v>1498232.17</v>
      </c>
      <c r="I143" s="6" t="s">
        <v>473</v>
      </c>
      <c r="J143" s="6" t="str">
        <f>'[1]V, inciso o) (OP)'!M63</f>
        <v>Aurora Lucia</v>
      </c>
      <c r="K143" s="7" t="str">
        <f>'[1]V, inciso o) (OP)'!N63</f>
        <v xml:space="preserve">Brenez </v>
      </c>
      <c r="L143" s="7" t="str">
        <f>'[1]V, inciso o) (OP)'!O63</f>
        <v>Garnica</v>
      </c>
      <c r="M143" s="6" t="s">
        <v>3009</v>
      </c>
      <c r="N143" s="7" t="str">
        <f>'[1]V, inciso o) (OP)'!Q63</f>
        <v>KUC070424344</v>
      </c>
      <c r="O143" s="11">
        <f t="shared" si="4"/>
        <v>1498232.17</v>
      </c>
      <c r="P143" s="11">
        <v>1316642.06</v>
      </c>
      <c r="Q143" s="7" t="s">
        <v>474</v>
      </c>
      <c r="R143" s="11">
        <f>O143/1844</f>
        <v>812.49033080260301</v>
      </c>
      <c r="S143" s="7" t="s">
        <v>41</v>
      </c>
      <c r="T143" s="12">
        <v>3426</v>
      </c>
      <c r="U143" s="13" t="s">
        <v>42</v>
      </c>
      <c r="V143" s="7" t="s">
        <v>43</v>
      </c>
      <c r="W143" s="10">
        <f>'[1]V, inciso o) (OP)'!AD63</f>
        <v>42569</v>
      </c>
      <c r="X143" s="10">
        <f>'[1]V, inciso o) (OP)'!AE63</f>
        <v>42628</v>
      </c>
      <c r="Y143" s="7" t="s">
        <v>317</v>
      </c>
      <c r="Z143" s="7" t="s">
        <v>191</v>
      </c>
      <c r="AA143" s="7" t="s">
        <v>192</v>
      </c>
      <c r="AB143" s="21" t="s">
        <v>1388</v>
      </c>
      <c r="AC143" s="6" t="s">
        <v>2438</v>
      </c>
      <c r="AD143" s="6"/>
    </row>
    <row r="144" spans="1:30" ht="69.95" customHeight="1">
      <c r="A144" s="34">
        <v>132</v>
      </c>
      <c r="B144" s="7">
        <v>2016</v>
      </c>
      <c r="C144" s="6" t="s">
        <v>62</v>
      </c>
      <c r="D144" s="6" t="str">
        <f>'[1]V, inciso o) (OP)'!C64</f>
        <v>DOPI-MUN-RM-OC-AD-132-2016</v>
      </c>
      <c r="E144" s="10">
        <f>'[1]V, inciso o) (OP)'!V64</f>
        <v>42566</v>
      </c>
      <c r="F144" s="6" t="str">
        <f>'[1]V, inciso o) (OP)'!AA64</f>
        <v>Demolición de viviendas abandonadas, reforzamiento de taludes y adecuaciones sanitarias en la zona de inundación y canal de la Martinica, municipio de Zapopan Jalisco.</v>
      </c>
      <c r="G144" s="6" t="s">
        <v>3308</v>
      </c>
      <c r="H144" s="39">
        <v>940138.27</v>
      </c>
      <c r="I144" s="6" t="s">
        <v>475</v>
      </c>
      <c r="J144" s="6" t="str">
        <f>'[1]V, inciso o) (OP)'!M64</f>
        <v>Alberto</v>
      </c>
      <c r="K144" s="7" t="str">
        <f>'[1]V, inciso o) (OP)'!N64</f>
        <v>Bañuelos</v>
      </c>
      <c r="L144" s="7" t="str">
        <f>'[1]V, inciso o) (OP)'!O64</f>
        <v>García</v>
      </c>
      <c r="M144" s="6" t="s">
        <v>3010</v>
      </c>
      <c r="N144" s="7" t="str">
        <f>'[1]V, inciso o) (OP)'!Q64</f>
        <v>GCO100226SU6</v>
      </c>
      <c r="O144" s="11">
        <f t="shared" si="4"/>
        <v>940138.27</v>
      </c>
      <c r="P144" s="11">
        <v>882079.19</v>
      </c>
      <c r="Q144" s="7" t="s">
        <v>476</v>
      </c>
      <c r="R144" s="11">
        <f>O144/513</f>
        <v>1832.6282066276804</v>
      </c>
      <c r="S144" s="7" t="s">
        <v>41</v>
      </c>
      <c r="T144" s="12">
        <v>3459</v>
      </c>
      <c r="U144" s="13" t="s">
        <v>42</v>
      </c>
      <c r="V144" s="7" t="s">
        <v>43</v>
      </c>
      <c r="W144" s="10">
        <f>'[1]V, inciso o) (OP)'!AD64</f>
        <v>42569</v>
      </c>
      <c r="X144" s="10">
        <f>'[1]V, inciso o) (OP)'!AE64</f>
        <v>42598</v>
      </c>
      <c r="Y144" s="7" t="s">
        <v>360</v>
      </c>
      <c r="Z144" s="7" t="s">
        <v>361</v>
      </c>
      <c r="AA144" s="7" t="s">
        <v>362</v>
      </c>
      <c r="AB144" s="21" t="s">
        <v>2559</v>
      </c>
      <c r="AC144" s="6" t="s">
        <v>2438</v>
      </c>
      <c r="AD144" s="6"/>
    </row>
    <row r="145" spans="1:30" ht="69.95" customHeight="1">
      <c r="A145" s="34">
        <v>133</v>
      </c>
      <c r="B145" s="7">
        <v>2016</v>
      </c>
      <c r="C145" s="6" t="s">
        <v>62</v>
      </c>
      <c r="D145" s="6" t="str">
        <f>'[1]V, inciso o) (OP)'!C65</f>
        <v>DOPI-MUN-RM-OC-AD-133-2016</v>
      </c>
      <c r="E145" s="10">
        <f>'[1]V, inciso o) (OP)'!V65</f>
        <v>42566</v>
      </c>
      <c r="F145" s="32" t="str">
        <f>'[1]V, inciso o) (OP)'!AA65</f>
        <v>Rectificación, rehabilitación y desazolve del arroyo La Campana; Adecuaciones hidráulicas y pluviales en las colindancias del nodo vial Santa Esther y Periférico; y reconstrucción de banquetas en Avenida Central, municipio de Zapopan, Jalisco</v>
      </c>
      <c r="G145" s="6" t="s">
        <v>3308</v>
      </c>
      <c r="H145" s="39">
        <v>1450005.23</v>
      </c>
      <c r="I145" s="6" t="s">
        <v>477</v>
      </c>
      <c r="J145" s="6" t="str">
        <f>'[1]V, inciso o) (OP)'!M65</f>
        <v>Hector Eugenio</v>
      </c>
      <c r="K145" s="7" t="str">
        <f>'[1]V, inciso o) (OP)'!N65</f>
        <v>De la Torre</v>
      </c>
      <c r="L145" s="7" t="str">
        <f>'[1]V, inciso o) (OP)'!O65</f>
        <v>Menchaca</v>
      </c>
      <c r="M145" s="6" t="s">
        <v>3011</v>
      </c>
      <c r="N145" s="7" t="str">
        <f>'[1]V, inciso o) (OP)'!Q65</f>
        <v>ITO951005HY5</v>
      </c>
      <c r="O145" s="11">
        <f t="shared" si="4"/>
        <v>1450005.23</v>
      </c>
      <c r="P145" s="11">
        <v>846446.8600000001</v>
      </c>
      <c r="Q145" s="7" t="s">
        <v>478</v>
      </c>
      <c r="R145" s="11">
        <f>O145/1302</f>
        <v>1113.675291858679</v>
      </c>
      <c r="S145" s="7" t="s">
        <v>41</v>
      </c>
      <c r="T145" s="12">
        <v>16342</v>
      </c>
      <c r="U145" s="13" t="s">
        <v>42</v>
      </c>
      <c r="V145" s="7" t="s">
        <v>43</v>
      </c>
      <c r="W145" s="10">
        <f>'[1]V, inciso o) (OP)'!AD65</f>
        <v>42569</v>
      </c>
      <c r="X145" s="10">
        <f>'[1]V, inciso o) (OP)'!AE65</f>
        <v>42614</v>
      </c>
      <c r="Y145" s="7" t="s">
        <v>317</v>
      </c>
      <c r="Z145" s="7" t="s">
        <v>191</v>
      </c>
      <c r="AA145" s="7" t="s">
        <v>192</v>
      </c>
      <c r="AB145" s="21" t="s">
        <v>2560</v>
      </c>
      <c r="AC145" s="6" t="s">
        <v>2438</v>
      </c>
      <c r="AD145" s="6"/>
    </row>
    <row r="146" spans="1:30" ht="69.95" customHeight="1">
      <c r="A146" s="34">
        <v>134</v>
      </c>
      <c r="B146" s="7">
        <v>2016</v>
      </c>
      <c r="C146" s="6" t="s">
        <v>62</v>
      </c>
      <c r="D146" s="6" t="str">
        <f>'[1]V, inciso o) (OP)'!C66</f>
        <v>DOPI-MUN-RM-OC-AD-134-2016</v>
      </c>
      <c r="E146" s="10">
        <f>'[1]V, inciso o) (OP)'!V66</f>
        <v>42578</v>
      </c>
      <c r="F146" s="6" t="str">
        <f>'[1]V, inciso o) (OP)'!AA66</f>
        <v>Construcción y reforzamiento de bordos primera etapa en el ejido de Santa Lucia, municipio de Zapopan, Jalisco.</v>
      </c>
      <c r="G146" s="6" t="s">
        <v>3308</v>
      </c>
      <c r="H146" s="39">
        <v>1501235.7800000003</v>
      </c>
      <c r="I146" s="6" t="s">
        <v>479</v>
      </c>
      <c r="J146" s="6" t="str">
        <f>'[1]V, inciso o) (OP)'!M66</f>
        <v>Heliodoro Nicolás</v>
      </c>
      <c r="K146" s="7" t="str">
        <f>'[1]V, inciso o) (OP)'!N66</f>
        <v>Aceves</v>
      </c>
      <c r="L146" s="7" t="str">
        <f>'[1]V, inciso o) (OP)'!O66</f>
        <v>Orozco</v>
      </c>
      <c r="M146" s="6" t="s">
        <v>3012</v>
      </c>
      <c r="N146" s="7" t="str">
        <f>'[1]V, inciso o) (OP)'!Q66</f>
        <v>IMA050204LA9</v>
      </c>
      <c r="O146" s="11">
        <f t="shared" si="4"/>
        <v>1501235.7800000003</v>
      </c>
      <c r="P146" s="11">
        <v>1500731.63</v>
      </c>
      <c r="Q146" s="7" t="s">
        <v>480</v>
      </c>
      <c r="R146" s="11">
        <f>O146/4468</f>
        <v>335.99726499552378</v>
      </c>
      <c r="S146" s="7" t="s">
        <v>41</v>
      </c>
      <c r="T146" s="12">
        <v>24253</v>
      </c>
      <c r="U146" s="13" t="s">
        <v>42</v>
      </c>
      <c r="V146" s="7" t="s">
        <v>43</v>
      </c>
      <c r="W146" s="10">
        <f>'[1]V, inciso o) (OP)'!AD66</f>
        <v>42579</v>
      </c>
      <c r="X146" s="10">
        <f>'[1]V, inciso o) (OP)'!AE66</f>
        <v>42698</v>
      </c>
      <c r="Y146" s="7" t="s">
        <v>331</v>
      </c>
      <c r="Z146" s="7" t="s">
        <v>332</v>
      </c>
      <c r="AA146" s="7" t="s">
        <v>116</v>
      </c>
      <c r="AB146" s="21" t="s">
        <v>2561</v>
      </c>
      <c r="AC146" s="6" t="s">
        <v>2438</v>
      </c>
      <c r="AD146" s="6"/>
    </row>
    <row r="147" spans="1:30" ht="69.95" customHeight="1">
      <c r="A147" s="34">
        <v>135</v>
      </c>
      <c r="B147" s="7">
        <v>2016</v>
      </c>
      <c r="C147" s="6" t="s">
        <v>62</v>
      </c>
      <c r="D147" s="6" t="str">
        <f>'[1]V, inciso o) (OP)'!C67</f>
        <v>DOPI-MUN-RM-EP-AD-135-2016</v>
      </c>
      <c r="E147" s="10">
        <f>'[1]V, inciso o) (OP)'!V67</f>
        <v>42587</v>
      </c>
      <c r="F147" s="6" t="str">
        <f>'[1]V, inciso o) (OP)'!AA67</f>
        <v>Obra complementaria en el parque El Polvorin II, municipio de Zapopan, Jalisco.</v>
      </c>
      <c r="G147" s="6" t="s">
        <v>3308</v>
      </c>
      <c r="H147" s="39">
        <v>1494650.15</v>
      </c>
      <c r="I147" s="6" t="s">
        <v>136</v>
      </c>
      <c r="J147" s="6" t="str">
        <f>'[1]V, inciso o) (OP)'!M67</f>
        <v>Maria Eugenia</v>
      </c>
      <c r="K147" s="7" t="str">
        <f>'[1]V, inciso o) (OP)'!N67</f>
        <v>Cortés</v>
      </c>
      <c r="L147" s="7" t="str">
        <f>'[1]V, inciso o) (OP)'!O67</f>
        <v>González</v>
      </c>
      <c r="M147" s="6" t="s">
        <v>3013</v>
      </c>
      <c r="N147" s="7" t="str">
        <f>'[1]V, inciso o) (OP)'!Q67</f>
        <v>ASP100215RH9</v>
      </c>
      <c r="O147" s="11">
        <f>'[1]V, inciso o) (OP)'!Y67</f>
        <v>1494650.15</v>
      </c>
      <c r="P147" s="11">
        <v>1494649.1600000001</v>
      </c>
      <c r="Q147" s="7" t="s">
        <v>137</v>
      </c>
      <c r="R147" s="11">
        <f>O147/2546.52</f>
        <v>586.93831189230787</v>
      </c>
      <c r="S147" s="7" t="s">
        <v>41</v>
      </c>
      <c r="T147" s="12">
        <v>2614</v>
      </c>
      <c r="U147" s="13" t="s">
        <v>42</v>
      </c>
      <c r="V147" s="7" t="s">
        <v>43</v>
      </c>
      <c r="W147" s="10">
        <f>'[1]V, inciso o) (OP)'!AD67</f>
        <v>42591</v>
      </c>
      <c r="X147" s="10">
        <f>'[1]V, inciso o) (OP)'!AE67</f>
        <v>42613</v>
      </c>
      <c r="Y147" s="7" t="s">
        <v>331</v>
      </c>
      <c r="Z147" s="7" t="s">
        <v>310</v>
      </c>
      <c r="AA147" s="7" t="s">
        <v>130</v>
      </c>
      <c r="AB147" s="21" t="s">
        <v>2562</v>
      </c>
      <c r="AC147" s="6" t="s">
        <v>2438</v>
      </c>
      <c r="AD147" s="6"/>
    </row>
    <row r="148" spans="1:30" ht="69.95" customHeight="1">
      <c r="A148" s="34">
        <v>136</v>
      </c>
      <c r="B148" s="7">
        <v>2016</v>
      </c>
      <c r="C148" s="6" t="s">
        <v>62</v>
      </c>
      <c r="D148" s="6" t="str">
        <f>'[1]V, inciso o) (OP)'!C68</f>
        <v>DOPI-MUN-RM-PROY-AD-136-2016</v>
      </c>
      <c r="E148" s="10">
        <f>'[1]V, inciso o) (OP)'!V68</f>
        <v>42586</v>
      </c>
      <c r="F148" s="6" t="str">
        <f>'[1]V, inciso o) (OP)'!AA68</f>
        <v>Estudios de mecánica de suelos y diseño de pavimentos de diferentes obras 2016, segunda etapa, del municipio de Zapopan, Jalisco.</v>
      </c>
      <c r="G148" s="6" t="s">
        <v>3308</v>
      </c>
      <c r="H148" s="39">
        <v>602435.48</v>
      </c>
      <c r="I148" s="6" t="s">
        <v>1317</v>
      </c>
      <c r="J148" s="6" t="str">
        <f>'[1]V, inciso o) (OP)'!M68</f>
        <v>José Alejandro</v>
      </c>
      <c r="K148" s="7" t="str">
        <f>'[1]V, inciso o) (OP)'!N68</f>
        <v>Alva</v>
      </c>
      <c r="L148" s="7" t="str">
        <f>'[1]V, inciso o) (OP)'!O68</f>
        <v>Delgado</v>
      </c>
      <c r="M148" s="6" t="s">
        <v>3014</v>
      </c>
      <c r="N148" s="7" t="str">
        <f>'[1]V, inciso o) (OP)'!Q68</f>
        <v>SOC150806E69</v>
      </c>
      <c r="O148" s="11">
        <f>'[1]V, inciso o) (OP)'!Y68</f>
        <v>602435.48</v>
      </c>
      <c r="P148" s="11">
        <v>384530.53</v>
      </c>
      <c r="Q148" s="7" t="s">
        <v>120</v>
      </c>
      <c r="R148" s="11" t="s">
        <v>120</v>
      </c>
      <c r="S148" s="7" t="s">
        <v>121</v>
      </c>
      <c r="T148" s="12" t="s">
        <v>121</v>
      </c>
      <c r="U148" s="13" t="s">
        <v>42</v>
      </c>
      <c r="V148" s="7" t="s">
        <v>43</v>
      </c>
      <c r="W148" s="10">
        <f>'[1]V, inciso o) (OP)'!AD68</f>
        <v>42591</v>
      </c>
      <c r="X148" s="10">
        <f>'[1]V, inciso o) (OP)'!AE68</f>
        <v>42735</v>
      </c>
      <c r="Y148" s="7" t="s">
        <v>402</v>
      </c>
      <c r="Z148" s="7" t="s">
        <v>481</v>
      </c>
      <c r="AA148" s="7" t="s">
        <v>104</v>
      </c>
      <c r="AB148" s="21" t="s">
        <v>1435</v>
      </c>
      <c r="AC148" s="6" t="s">
        <v>2438</v>
      </c>
      <c r="AD148" s="6"/>
    </row>
    <row r="149" spans="1:30" ht="69.95" customHeight="1">
      <c r="A149" s="34">
        <v>137</v>
      </c>
      <c r="B149" s="7">
        <v>2016</v>
      </c>
      <c r="C149" s="6" t="s">
        <v>62</v>
      </c>
      <c r="D149" s="6" t="str">
        <f>'[1]V, inciso o) (OP)'!C69</f>
        <v>DOPI-MUN-RM-AP-AD-137-2016</v>
      </c>
      <c r="E149" s="10">
        <f>'[1]V, inciso o) (OP)'!V69</f>
        <v>42594</v>
      </c>
      <c r="F149" s="6" t="str">
        <f>'[1]V, inciso o) (OP)'!AA69</f>
        <v>Complemento de red de agua potable y tomas domiciliarias en la localidad de Milpillas, municipio de Zapopan, Jalisco</v>
      </c>
      <c r="G149" s="6" t="s">
        <v>3308</v>
      </c>
      <c r="H149" s="39">
        <v>1435250.48</v>
      </c>
      <c r="I149" s="6" t="s">
        <v>482</v>
      </c>
      <c r="J149" s="6" t="str">
        <f>'[1]V, inciso o) (OP)'!M69</f>
        <v>Javier</v>
      </c>
      <c r="K149" s="7" t="str">
        <f>'[1]V, inciso o) (OP)'!N69</f>
        <v xml:space="preserve">Ávila </v>
      </c>
      <c r="L149" s="7" t="str">
        <f>'[1]V, inciso o) (OP)'!O69</f>
        <v>Flores</v>
      </c>
      <c r="M149" s="6" t="s">
        <v>3015</v>
      </c>
      <c r="N149" s="7" t="str">
        <f>'[1]V, inciso o) (OP)'!Q69</f>
        <v>SCC060622HZ3</v>
      </c>
      <c r="O149" s="11">
        <f>'[1]V, inciso o) (OP)'!Y69</f>
        <v>1435250.48</v>
      </c>
      <c r="P149" s="11">
        <v>1380658.57</v>
      </c>
      <c r="Q149" s="7" t="s">
        <v>483</v>
      </c>
      <c r="R149" s="11">
        <f>O149/1280</f>
        <v>1121.2894375000001</v>
      </c>
      <c r="S149" s="7" t="s">
        <v>41</v>
      </c>
      <c r="T149" s="12">
        <v>86</v>
      </c>
      <c r="U149" s="13" t="s">
        <v>42</v>
      </c>
      <c r="V149" s="7" t="s">
        <v>43</v>
      </c>
      <c r="W149" s="10">
        <f>'[1]V, inciso o) (OP)'!AD69</f>
        <v>42597</v>
      </c>
      <c r="X149" s="10">
        <f>'[1]V, inciso o) (OP)'!AE69</f>
        <v>42643</v>
      </c>
      <c r="Y149" s="7" t="s">
        <v>484</v>
      </c>
      <c r="Z149" s="7" t="s">
        <v>485</v>
      </c>
      <c r="AA149" s="7" t="s">
        <v>94</v>
      </c>
      <c r="AB149" s="21" t="s">
        <v>2563</v>
      </c>
      <c r="AC149" s="6" t="s">
        <v>2438</v>
      </c>
      <c r="AD149" s="6"/>
    </row>
    <row r="150" spans="1:30" ht="69.95" customHeight="1">
      <c r="A150" s="34">
        <v>138</v>
      </c>
      <c r="B150" s="7">
        <v>2016</v>
      </c>
      <c r="C150" s="6" t="s">
        <v>62</v>
      </c>
      <c r="D150" s="6" t="str">
        <f>'[1]V, inciso o) (OP)'!C70</f>
        <v>DOPI-MUN-RM-IM-AD-138-2016</v>
      </c>
      <c r="E150" s="10">
        <f>'[1]V, inciso o) (OP)'!V70</f>
        <v>42607</v>
      </c>
      <c r="F150" s="32" t="str">
        <f>'[1]V, inciso o) (OP)'!AA70</f>
        <v>Complemento de la construcción de muro oriente, rehabilitación de banquetas e instalación de malla ciclón en el Panteón Municipal ubicado en la localidad de Santa Ana Tepetitlán, municipio de Zapopan, Jalisco.</v>
      </c>
      <c r="G150" s="6" t="s">
        <v>3308</v>
      </c>
      <c r="H150" s="39">
        <v>1308547.98</v>
      </c>
      <c r="I150" s="6" t="s">
        <v>276</v>
      </c>
      <c r="J150" s="6" t="str">
        <f>'[1]V, inciso o) (OP)'!M70</f>
        <v>Oscar Luis</v>
      </c>
      <c r="K150" s="7" t="str">
        <f>'[1]V, inciso o) (OP)'!N70</f>
        <v xml:space="preserve"> Chávez</v>
      </c>
      <c r="L150" s="7" t="str">
        <f>'[1]V, inciso o) (OP)'!O70</f>
        <v>González</v>
      </c>
      <c r="M150" s="6" t="s">
        <v>3016</v>
      </c>
      <c r="N150" s="7" t="str">
        <f>'[1]V, inciso o) (OP)'!Q70</f>
        <v>ETR070417NS8</v>
      </c>
      <c r="O150" s="11">
        <f>'[1]V, inciso o) (OP)'!Y70</f>
        <v>1308547.98</v>
      </c>
      <c r="P150" s="11">
        <v>1043309.64</v>
      </c>
      <c r="Q150" s="7" t="s">
        <v>486</v>
      </c>
      <c r="R150" s="11">
        <f>O150/735</f>
        <v>1780.3373877551021</v>
      </c>
      <c r="S150" s="7" t="s">
        <v>41</v>
      </c>
      <c r="T150" s="12">
        <v>171759</v>
      </c>
      <c r="U150" s="13" t="s">
        <v>42</v>
      </c>
      <c r="V150" s="7" t="s">
        <v>43</v>
      </c>
      <c r="W150" s="10">
        <f>'[1]V, inciso o) (OP)'!AD70</f>
        <v>42611</v>
      </c>
      <c r="X150" s="10">
        <f>'[1]V, inciso o) (OP)'!AE70</f>
        <v>42655</v>
      </c>
      <c r="Y150" s="7" t="s">
        <v>487</v>
      </c>
      <c r="Z150" s="7" t="s">
        <v>488</v>
      </c>
      <c r="AA150" s="7" t="s">
        <v>78</v>
      </c>
      <c r="AB150" s="21" t="s">
        <v>1436</v>
      </c>
      <c r="AC150" s="6" t="s">
        <v>2438</v>
      </c>
      <c r="AD150" s="6"/>
    </row>
    <row r="151" spans="1:30" ht="69.95" customHeight="1">
      <c r="A151" s="34">
        <v>139</v>
      </c>
      <c r="B151" s="7">
        <v>2016</v>
      </c>
      <c r="C151" s="6" t="s">
        <v>62</v>
      </c>
      <c r="D151" s="6" t="str">
        <f>'[1]V, inciso o) (OP)'!C71</f>
        <v>DOPI-MUN-RM-IM-AD-139-2016</v>
      </c>
      <c r="E151" s="10">
        <f>'[1]V, inciso o) (OP)'!V71</f>
        <v>42607</v>
      </c>
      <c r="F151" s="6" t="str">
        <f>'[1]V, inciso o) (OP)'!AA71</f>
        <v>Construcción de muro, banquetas, instalación de malla ciclón en el Panteón municipal ubicado en Atemajac, municipio de Zapopan, Jalisco</v>
      </c>
      <c r="G151" s="6" t="s">
        <v>3308</v>
      </c>
      <c r="H151" s="39">
        <v>1485649.36</v>
      </c>
      <c r="I151" s="6" t="s">
        <v>489</v>
      </c>
      <c r="J151" s="6" t="str">
        <f>'[1]V, inciso o) (OP)'!M71</f>
        <v>Víctor Eduardo</v>
      </c>
      <c r="K151" s="7" t="str">
        <f>'[1]V, inciso o) (OP)'!N71</f>
        <v>López</v>
      </c>
      <c r="L151" s="7" t="str">
        <f>'[1]V, inciso o) (OP)'!O71</f>
        <v>Carpio</v>
      </c>
      <c r="M151" s="6" t="s">
        <v>3017</v>
      </c>
      <c r="N151" s="7" t="str">
        <f>'[1]V, inciso o) (OP)'!Q71</f>
        <v>CIN101029PR5</v>
      </c>
      <c r="O151" s="11">
        <f>'[1]V, inciso o) (OP)'!Y71</f>
        <v>1485649.36</v>
      </c>
      <c r="P151" s="11">
        <v>1276045.8500000001</v>
      </c>
      <c r="Q151" s="7" t="s">
        <v>490</v>
      </c>
      <c r="R151" s="11">
        <f>O151/244</f>
        <v>6088.7268852459019</v>
      </c>
      <c r="S151" s="7" t="s">
        <v>41</v>
      </c>
      <c r="T151" s="12">
        <v>194745</v>
      </c>
      <c r="U151" s="13" t="s">
        <v>42</v>
      </c>
      <c r="V151" s="7" t="s">
        <v>43</v>
      </c>
      <c r="W151" s="10">
        <f>'[1]V, inciso o) (OP)'!AD71</f>
        <v>42611</v>
      </c>
      <c r="X151" s="10">
        <f>'[1]V, inciso o) (OP)'!AE71</f>
        <v>42670</v>
      </c>
      <c r="Y151" s="7" t="s">
        <v>331</v>
      </c>
      <c r="Z151" s="7" t="s">
        <v>310</v>
      </c>
      <c r="AA151" s="7" t="s">
        <v>130</v>
      </c>
      <c r="AB151" s="21" t="s">
        <v>1389</v>
      </c>
      <c r="AC151" s="6" t="s">
        <v>2438</v>
      </c>
      <c r="AD151" s="6"/>
    </row>
    <row r="152" spans="1:30" s="35" customFormat="1" ht="69.95" customHeight="1">
      <c r="A152" s="34">
        <v>140</v>
      </c>
      <c r="B152" s="7">
        <v>2016</v>
      </c>
      <c r="C152" s="6" t="s">
        <v>31</v>
      </c>
      <c r="D152" s="6" t="str">
        <f>'[1]V, inciso p) (OP)'!D88</f>
        <v>DOPI-MUN-CISZ-RM-LP-140-2016</v>
      </c>
      <c r="E152" s="10">
        <f>'[1]V, inciso p) (OP)'!AD88</f>
        <v>42956</v>
      </c>
      <c r="F152" s="6" t="str">
        <f>'[1]V, inciso p) (OP)'!I88</f>
        <v>Estudios, proyecto ejecutivo, construcción, equipamiento del Centro Integral de Servicios del Municipio de Zapopan.</v>
      </c>
      <c r="G152" s="6" t="s">
        <v>63</v>
      </c>
      <c r="H152" s="39">
        <v>573587008.76999998</v>
      </c>
      <c r="I152" s="6" t="str">
        <f>'[1]V, inciso p) (OP)'!AS88</f>
        <v>Colonia Tepeyac</v>
      </c>
      <c r="J152" s="6" t="s">
        <v>491</v>
      </c>
      <c r="K152" s="6" t="s">
        <v>492</v>
      </c>
      <c r="L152" s="6" t="s">
        <v>493</v>
      </c>
      <c r="M152" s="6" t="s">
        <v>3018</v>
      </c>
      <c r="N152" s="6" t="s">
        <v>494</v>
      </c>
      <c r="O152" s="36">
        <v>531279657.50999999</v>
      </c>
      <c r="P152" s="11">
        <v>573587008.61999989</v>
      </c>
      <c r="Q152" s="7" t="s">
        <v>495</v>
      </c>
      <c r="R152" s="11">
        <f>O152/19257</f>
        <v>27588.910916030534</v>
      </c>
      <c r="S152" s="7" t="s">
        <v>41</v>
      </c>
      <c r="T152" s="12">
        <v>1332272</v>
      </c>
      <c r="U152" s="13" t="s">
        <v>42</v>
      </c>
      <c r="V152" s="7" t="s">
        <v>43</v>
      </c>
      <c r="W152" s="10">
        <f>'[1]V, inciso p) (OP)'!AM88</f>
        <v>42957</v>
      </c>
      <c r="X152" s="10">
        <f>'[1]V, inciso p) (OP)'!AN88</f>
        <v>43326</v>
      </c>
      <c r="Y152" s="7" t="s">
        <v>496</v>
      </c>
      <c r="Z152" s="7" t="s">
        <v>497</v>
      </c>
      <c r="AA152" s="7" t="s">
        <v>370</v>
      </c>
      <c r="AB152" s="21" t="s">
        <v>2912</v>
      </c>
      <c r="AC152" s="21" t="s">
        <v>3300</v>
      </c>
      <c r="AD152" s="6"/>
    </row>
    <row r="153" spans="1:30" ht="69.95" customHeight="1">
      <c r="A153" s="34">
        <v>141</v>
      </c>
      <c r="B153" s="7">
        <v>2016</v>
      </c>
      <c r="C153" s="6" t="str">
        <f>'[1]V, inciso p) (OP)'!B89</f>
        <v>Licitación por Invitación Restringida</v>
      </c>
      <c r="D153" s="6" t="str">
        <f>'[1]V, inciso p) (OP)'!D89</f>
        <v>DOPI-MUN-CRM-AP-CI-141-2016</v>
      </c>
      <c r="E153" s="10">
        <f>'[1]V, inciso p) (OP)'!AD89</f>
        <v>42685</v>
      </c>
      <c r="F153" s="32" t="str">
        <f>'[1]V, inciso p) (OP)'!I89</f>
        <v>Construcción de linea de conducción de agua potable desde el pozo de La Soledad de Nextipac a la Colonia Fuentesillas, en la localidad de Nextipac; Construccuón de red de drenaje y descargas sanitarias en la Colonia Vinatera, municipio de Zapopan, Jalisco.</v>
      </c>
      <c r="G153" s="6" t="s">
        <v>3317</v>
      </c>
      <c r="H153" s="39">
        <v>6695242.6299999999</v>
      </c>
      <c r="I153" s="6" t="str">
        <f>'[1]V, inciso p) (OP)'!AS89</f>
        <v>Localidad de Nextipac</v>
      </c>
      <c r="J153" s="6" t="str">
        <f>'[1]V, inciso p) (OP)'!T89</f>
        <v>Claudio Felipe</v>
      </c>
      <c r="K153" s="7" t="str">
        <f>'[1]V, inciso p) (OP)'!U89</f>
        <v>Trujillo</v>
      </c>
      <c r="L153" s="7" t="str">
        <f>'[1]V, inciso p) (OP)'!V89</f>
        <v>Gracián</v>
      </c>
      <c r="M153" s="6" t="s">
        <v>3019</v>
      </c>
      <c r="N153" s="7" t="str">
        <f>'[1]V, inciso p) (OP)'!X89</f>
        <v>DLU100818F46</v>
      </c>
      <c r="O153" s="11">
        <f t="shared" ref="O153:O170" si="5">H153</f>
        <v>6695242.6299999999</v>
      </c>
      <c r="P153" s="11">
        <v>6471229.4900000002</v>
      </c>
      <c r="Q153" s="7" t="s">
        <v>498</v>
      </c>
      <c r="R153" s="11">
        <f>O153/3891</f>
        <v>1720.6997250064251</v>
      </c>
      <c r="S153" s="7" t="s">
        <v>41</v>
      </c>
      <c r="T153" s="12">
        <v>1482</v>
      </c>
      <c r="U153" s="13" t="s">
        <v>42</v>
      </c>
      <c r="V153" s="7" t="s">
        <v>43</v>
      </c>
      <c r="W153" s="10">
        <f>'[1]V, inciso p) (OP)'!AM89</f>
        <v>42688</v>
      </c>
      <c r="X153" s="10">
        <f>'[1]V, inciso p) (OP)'!AN89</f>
        <v>42728</v>
      </c>
      <c r="Y153" s="7" t="s">
        <v>331</v>
      </c>
      <c r="Z153" s="7" t="s">
        <v>332</v>
      </c>
      <c r="AA153" s="7" t="s">
        <v>116</v>
      </c>
      <c r="AB153" s="21" t="s">
        <v>3280</v>
      </c>
      <c r="AC153" s="21" t="s">
        <v>3298</v>
      </c>
      <c r="AD153" s="6"/>
    </row>
    <row r="154" spans="1:30" ht="69.95" customHeight="1">
      <c r="A154" s="34">
        <v>142</v>
      </c>
      <c r="B154" s="7">
        <v>2016</v>
      </c>
      <c r="C154" s="6" t="str">
        <f>'[1]V, inciso p) (OP)'!B90</f>
        <v>Licitación por Invitación Restringida</v>
      </c>
      <c r="D154" s="6" t="str">
        <f>'[1]V, inciso p) (OP)'!D90</f>
        <v>DOPI-MUN-CRM-AP-CI-142-2016</v>
      </c>
      <c r="E154" s="10">
        <f>'[1]V, inciso p) (OP)'!AD90</f>
        <v>42685</v>
      </c>
      <c r="F154" s="6" t="str">
        <f>'[1]V, inciso p) (OP)'!I90</f>
        <v>Perforación y Equipamiento de pozo profundo en la localidad de Milpillas Mesa de San Juan, municipio de Zapopan, Jalisco</v>
      </c>
      <c r="G154" s="6" t="s">
        <v>3317</v>
      </c>
      <c r="H154" s="39">
        <v>5113699.54</v>
      </c>
      <c r="I154" s="6" t="str">
        <f>'[1]V, inciso p) (OP)'!AS90</f>
        <v>Localidad Milpillas</v>
      </c>
      <c r="J154" s="6" t="str">
        <f>'[1]V, inciso p) (OP)'!T90</f>
        <v>Víctor Saul</v>
      </c>
      <c r="K154" s="7" t="str">
        <f>'[1]V, inciso p) (OP)'!U90</f>
        <v>Ramos</v>
      </c>
      <c r="L154" s="7" t="str">
        <f>'[1]V, inciso p) (OP)'!V90</f>
        <v>Morales</v>
      </c>
      <c r="M154" s="6" t="s">
        <v>3020</v>
      </c>
      <c r="N154" s="7" t="str">
        <f>'[1]V, inciso p) (OP)'!X90</f>
        <v>RDR100922131</v>
      </c>
      <c r="O154" s="11">
        <f t="shared" si="5"/>
        <v>5113699.54</v>
      </c>
      <c r="P154" s="11">
        <v>4676348.8800000008</v>
      </c>
      <c r="Q154" s="7" t="s">
        <v>499</v>
      </c>
      <c r="R154" s="11">
        <f>O154/1</f>
        <v>5113699.54</v>
      </c>
      <c r="S154" s="7" t="s">
        <v>41</v>
      </c>
      <c r="T154" s="12">
        <v>105</v>
      </c>
      <c r="U154" s="13" t="s">
        <v>42</v>
      </c>
      <c r="V154" s="7" t="s">
        <v>43</v>
      </c>
      <c r="W154" s="10">
        <f>'[1]V, inciso p) (OP)'!AM90</f>
        <v>42688</v>
      </c>
      <c r="X154" s="10">
        <f>'[1]V, inciso p) (OP)'!AN90</f>
        <v>42759</v>
      </c>
      <c r="Y154" s="7" t="s">
        <v>484</v>
      </c>
      <c r="Z154" s="7" t="s">
        <v>485</v>
      </c>
      <c r="AA154" s="7" t="s">
        <v>94</v>
      </c>
      <c r="AB154" s="21" t="s">
        <v>3281</v>
      </c>
      <c r="AC154" s="6" t="s">
        <v>2438</v>
      </c>
      <c r="AD154" s="6"/>
    </row>
    <row r="155" spans="1:30" ht="69.95" customHeight="1">
      <c r="A155" s="34">
        <v>143</v>
      </c>
      <c r="B155" s="7">
        <v>2016</v>
      </c>
      <c r="C155" s="6" t="str">
        <f>'[1]V, inciso p) (OP)'!B91</f>
        <v>Licitación por Invitación Restringida</v>
      </c>
      <c r="D155" s="6" t="str">
        <f>'[1]V, inciso p) (OP)'!D91</f>
        <v>DOPI-MUN-CRM-AP-CI-143-2016</v>
      </c>
      <c r="E155" s="10">
        <f>'[1]V, inciso p) (OP)'!AD91</f>
        <v>42685</v>
      </c>
      <c r="F155" s="6" t="str">
        <f>'[1]V, inciso p) (OP)'!I91</f>
        <v>Perforación y equipamiento de pozo profundo en la localidad de Cerca Morada, municipio de Zapopan, Jalisco.</v>
      </c>
      <c r="G155" s="6" t="s">
        <v>3317</v>
      </c>
      <c r="H155" s="39">
        <v>4937334.7300000004</v>
      </c>
      <c r="I155" s="6" t="str">
        <f>'[1]V, inciso p) (OP)'!AS91</f>
        <v>Localidad Cerca Morada</v>
      </c>
      <c r="J155" s="6" t="str">
        <f>'[1]V, inciso p) (OP)'!T91</f>
        <v>Antonio José Rodolfo</v>
      </c>
      <c r="K155" s="7" t="str">
        <f>'[1]V, inciso p) (OP)'!U91</f>
        <v>Corcuera</v>
      </c>
      <c r="L155" s="7" t="str">
        <f>'[1]V, inciso p) (OP)'!V91</f>
        <v>Garza Madero</v>
      </c>
      <c r="M155" s="6" t="s">
        <v>3021</v>
      </c>
      <c r="N155" s="7" t="str">
        <f>'[1]V, inciso p) (OP)'!X91</f>
        <v>AOC830810TG9</v>
      </c>
      <c r="O155" s="11">
        <f t="shared" si="5"/>
        <v>4937334.7300000004</v>
      </c>
      <c r="P155" s="11">
        <v>1592618.6400000001</v>
      </c>
      <c r="Q155" s="7" t="s">
        <v>499</v>
      </c>
      <c r="R155" s="11">
        <f>O155</f>
        <v>4937334.7300000004</v>
      </c>
      <c r="S155" s="7" t="s">
        <v>41</v>
      </c>
      <c r="T155" s="12">
        <v>96</v>
      </c>
      <c r="U155" s="13" t="s">
        <v>42</v>
      </c>
      <c r="V155" s="7" t="s">
        <v>43</v>
      </c>
      <c r="W155" s="10">
        <f>'[1]V, inciso p) (OP)'!AM91</f>
        <v>42688</v>
      </c>
      <c r="X155" s="10">
        <f>'[1]V, inciso p) (OP)'!AN91</f>
        <v>42759</v>
      </c>
      <c r="Y155" s="7" t="s">
        <v>331</v>
      </c>
      <c r="Z155" s="7" t="s">
        <v>332</v>
      </c>
      <c r="AA155" s="7" t="s">
        <v>116</v>
      </c>
      <c r="AB155" s="21" t="s">
        <v>3282</v>
      </c>
      <c r="AC155" s="6" t="s">
        <v>2438</v>
      </c>
      <c r="AD155" s="6"/>
    </row>
    <row r="156" spans="1:30" ht="69.95" customHeight="1">
      <c r="A156" s="34">
        <v>144</v>
      </c>
      <c r="B156" s="7">
        <v>2016</v>
      </c>
      <c r="C156" s="6" t="str">
        <f>'[1]V, inciso p) (OP)'!B92</f>
        <v>Licitación por Invitación Restringida</v>
      </c>
      <c r="D156" s="6" t="str">
        <f>'[1]V, inciso p) (OP)'!D92</f>
        <v>DOPI-MUN-RM-IS-CI-144-2016</v>
      </c>
      <c r="E156" s="10">
        <f>'[1]V, inciso p) (OP)'!AD92</f>
        <v>42685</v>
      </c>
      <c r="F156" s="32" t="str">
        <f>'[1]V, inciso p) (OP)'!I92</f>
        <v>Rehabilitación del área de consultorios, urgencias,mortuario y acabados en general en la Cruz Verde Sur Las Aguilas, ubicada en Av. López Mateos y calle Cruz del Sur en la Colonia Las Aguilas, municipio de Zapopan, Jalisco.</v>
      </c>
      <c r="G156" s="6" t="s">
        <v>3308</v>
      </c>
      <c r="H156" s="39">
        <v>3504992.46</v>
      </c>
      <c r="I156" s="6" t="str">
        <f>'[1]V, inciso p) (OP)'!AS92</f>
        <v>Colonia Las Aguilas</v>
      </c>
      <c r="J156" s="6" t="str">
        <f>'[1]V, inciso p) (OP)'!T92</f>
        <v>Marco Antonio</v>
      </c>
      <c r="K156" s="7" t="str">
        <f>'[1]V, inciso p) (OP)'!U92</f>
        <v>Cortés</v>
      </c>
      <c r="L156" s="7" t="str">
        <f>'[1]V, inciso p) (OP)'!V92</f>
        <v>González</v>
      </c>
      <c r="M156" s="6" t="s">
        <v>145</v>
      </c>
      <c r="N156" s="7" t="str">
        <f>'[1]V, inciso p) (OP)'!X92</f>
        <v>GTM050418384</v>
      </c>
      <c r="O156" s="11">
        <f t="shared" si="5"/>
        <v>3504992.46</v>
      </c>
      <c r="P156" s="11">
        <v>3504992.46</v>
      </c>
      <c r="Q156" s="7" t="s">
        <v>500</v>
      </c>
      <c r="R156" s="11">
        <f>O156/382</f>
        <v>9175.3729319371723</v>
      </c>
      <c r="S156" s="7" t="s">
        <v>41</v>
      </c>
      <c r="T156" s="12">
        <v>280500</v>
      </c>
      <c r="U156" s="13" t="s">
        <v>42</v>
      </c>
      <c r="V156" s="7" t="s">
        <v>373</v>
      </c>
      <c r="W156" s="10">
        <f>'[1]V, inciso p) (OP)'!AM92</f>
        <v>42688</v>
      </c>
      <c r="X156" s="10">
        <f>'[1]V, inciso p) (OP)'!AN92</f>
        <v>42728</v>
      </c>
      <c r="Y156" s="7" t="s">
        <v>501</v>
      </c>
      <c r="Z156" s="7" t="s">
        <v>502</v>
      </c>
      <c r="AA156" s="7" t="s">
        <v>503</v>
      </c>
      <c r="AB156" s="21" t="s">
        <v>2822</v>
      </c>
      <c r="AC156" s="6" t="s">
        <v>2438</v>
      </c>
      <c r="AD156" s="6"/>
    </row>
    <row r="157" spans="1:30" ht="69.95" customHeight="1">
      <c r="A157" s="34">
        <v>145</v>
      </c>
      <c r="B157" s="7">
        <v>2016</v>
      </c>
      <c r="C157" s="6" t="str">
        <f>'[1]V, inciso p) (OP)'!B93</f>
        <v>Licitación por Invitación Restringida</v>
      </c>
      <c r="D157" s="6" t="str">
        <f>'[1]V, inciso p) (OP)'!D93</f>
        <v>DOPI-MUN-RM-AP-CI-145-2016</v>
      </c>
      <c r="E157" s="10">
        <f>'[1]V, inciso p) (OP)'!AD93</f>
        <v>42685</v>
      </c>
      <c r="F157" s="32" t="str">
        <f>'[1]V, inciso p) (OP)'!I93</f>
        <v>Sustitución de red de agua potable, drenaje sanitario y adecuaciones pluviales en la Avenida Juan Manuel Ruvalcaba en el tramo de la calle Río Amazonas y Pedro Moreno, localidad de Santa Lucia, municipio de Zapopan, Jalisco.</v>
      </c>
      <c r="G157" s="6" t="s">
        <v>63</v>
      </c>
      <c r="H157" s="39">
        <v>5120884.03</v>
      </c>
      <c r="I157" s="6" t="str">
        <f>'[1]V, inciso p) (OP)'!AS93</f>
        <v>Localidad de Santa Lucia</v>
      </c>
      <c r="J157" s="6" t="str">
        <f>'[1]V, inciso p) (OP)'!T93</f>
        <v>Mario</v>
      </c>
      <c r="K157" s="7" t="str">
        <f>'[1]V, inciso p) (OP)'!U93</f>
        <v>Beltrán</v>
      </c>
      <c r="L157" s="7" t="str">
        <f>'[1]V, inciso p) (OP)'!V93</f>
        <v>Rodríguez</v>
      </c>
      <c r="M157" s="6" t="s">
        <v>2998</v>
      </c>
      <c r="N157" s="7" t="str">
        <f>'[1]V, inciso p) (OP)'!X93</f>
        <v>CDB0506068Z4</v>
      </c>
      <c r="O157" s="11">
        <f t="shared" si="5"/>
        <v>5120884.03</v>
      </c>
      <c r="P157" s="11">
        <v>5063677.1500000004</v>
      </c>
      <c r="Q157" s="7" t="s">
        <v>504</v>
      </c>
      <c r="R157" s="11">
        <f>O157/1988</f>
        <v>2575.8973993963782</v>
      </c>
      <c r="S157" s="7" t="s">
        <v>41</v>
      </c>
      <c r="T157" s="12">
        <v>320</v>
      </c>
      <c r="U157" s="13" t="s">
        <v>42</v>
      </c>
      <c r="V157" s="7" t="s">
        <v>43</v>
      </c>
      <c r="W157" s="10">
        <f>'[1]V, inciso p) (OP)'!AM93</f>
        <v>42688</v>
      </c>
      <c r="X157" s="10">
        <f>'[1]V, inciso p) (OP)'!AN93</f>
        <v>42728</v>
      </c>
      <c r="Y157" s="7" t="s">
        <v>331</v>
      </c>
      <c r="Z157" s="7" t="s">
        <v>332</v>
      </c>
      <c r="AA157" s="7" t="s">
        <v>116</v>
      </c>
      <c r="AB157" s="21" t="s">
        <v>1501</v>
      </c>
      <c r="AC157" s="6" t="s">
        <v>2438</v>
      </c>
      <c r="AD157" s="6"/>
    </row>
    <row r="158" spans="1:30" ht="69.95" customHeight="1">
      <c r="A158" s="34">
        <v>146</v>
      </c>
      <c r="B158" s="7">
        <v>2016</v>
      </c>
      <c r="C158" s="6" t="str">
        <f>'[1]V, inciso p) (OP)'!B94</f>
        <v>Licitación por Invitación Restringida</v>
      </c>
      <c r="D158" s="6" t="str">
        <f>'[1]V, inciso p) (OP)'!D94</f>
        <v>DOPI-MUN-RM-IE-CI-146-2016</v>
      </c>
      <c r="E158" s="10">
        <f>'[1]V, inciso p) (OP)'!AD94</f>
        <v>42685</v>
      </c>
      <c r="F158" s="32" t="str">
        <f>'[1]V, inciso p) (OP)'!I94</f>
        <v>Suministro y colocación de estructuras de protección de rayos ultravioleta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
      <c r="G158" s="6" t="s">
        <v>3308</v>
      </c>
      <c r="H158" s="39">
        <v>4839304.3099999996</v>
      </c>
      <c r="I158" s="6" t="str">
        <f>'[1]V, inciso p) (OP)'!AS94</f>
        <v>Colonia Centro, El Vigia, Santa Ana Tepetitlán, Jardines del Valle, Lomas de Tabachines, Paraisos del Colli y Vicente Guerrero</v>
      </c>
      <c r="J158" s="6" t="str">
        <f>'[1]V, inciso p) (OP)'!T94</f>
        <v>Gustavo</v>
      </c>
      <c r="K158" s="7" t="str">
        <f>'[1]V, inciso p) (OP)'!U94</f>
        <v>Durán</v>
      </c>
      <c r="L158" s="7" t="str">
        <f>'[1]V, inciso p) (OP)'!V94</f>
        <v>Jiménez</v>
      </c>
      <c r="M158" s="6" t="s">
        <v>3022</v>
      </c>
      <c r="N158" s="7" t="str">
        <f>'[1]V, inciso p) (OP)'!X94</f>
        <v>DJA9405184G7</v>
      </c>
      <c r="O158" s="11">
        <f t="shared" si="5"/>
        <v>4839304.3099999996</v>
      </c>
      <c r="P158" s="11">
        <v>4641851.04</v>
      </c>
      <c r="Q158" s="7" t="s">
        <v>505</v>
      </c>
      <c r="R158" s="11">
        <f>O158/3597</f>
        <v>1345.3723408395883</v>
      </c>
      <c r="S158" s="7" t="s">
        <v>41</v>
      </c>
      <c r="T158" s="12">
        <v>965</v>
      </c>
      <c r="U158" s="13" t="s">
        <v>42</v>
      </c>
      <c r="V158" s="7" t="s">
        <v>43</v>
      </c>
      <c r="W158" s="10">
        <f>'[1]V, inciso p) (OP)'!AM94</f>
        <v>42688</v>
      </c>
      <c r="X158" s="10">
        <f>'[1]V, inciso p) (OP)'!AN94</f>
        <v>42728</v>
      </c>
      <c r="Y158" s="7" t="s">
        <v>429</v>
      </c>
      <c r="Z158" s="7" t="s">
        <v>290</v>
      </c>
      <c r="AA158" s="7" t="s">
        <v>73</v>
      </c>
      <c r="AB158" s="21" t="s">
        <v>1437</v>
      </c>
      <c r="AC158" s="6" t="s">
        <v>2438</v>
      </c>
      <c r="AD158" s="6"/>
    </row>
    <row r="159" spans="1:30" ht="69.95" customHeight="1">
      <c r="A159" s="34">
        <v>147</v>
      </c>
      <c r="B159" s="7">
        <v>2016</v>
      </c>
      <c r="C159" s="6" t="str">
        <f>'[1]V, inciso p) (OP)'!B95</f>
        <v>Licitación por Invitación Restringida</v>
      </c>
      <c r="D159" s="6" t="str">
        <f>'[1]V, inciso p) (OP)'!D95</f>
        <v>DOPI-MUN-RM-AP-CI-147-2016</v>
      </c>
      <c r="E159" s="10">
        <f>'[1]V, inciso p) (OP)'!AD95</f>
        <v>42685</v>
      </c>
      <c r="F159" s="6" t="str">
        <f>'[1]V, inciso p) (OP)'!I95</f>
        <v>Perforación y equipamiento de pozo en el ejido de Copalita.</v>
      </c>
      <c r="G159" s="6" t="s">
        <v>3308</v>
      </c>
      <c r="H159" s="39">
        <v>5204600.13</v>
      </c>
      <c r="I159" s="6" t="str">
        <f>'[1]V, inciso p) (OP)'!AS95</f>
        <v>Ejido Copalita</v>
      </c>
      <c r="J159" s="6" t="str">
        <f>'[1]V, inciso p) (OP)'!T95</f>
        <v>Karla Mariana</v>
      </c>
      <c r="K159" s="7" t="str">
        <f>'[1]V, inciso p) (OP)'!U95</f>
        <v>Méndez</v>
      </c>
      <c r="L159" s="7" t="str">
        <f>'[1]V, inciso p) (OP)'!V95</f>
        <v>Rodríguez</v>
      </c>
      <c r="M159" s="6" t="s">
        <v>3023</v>
      </c>
      <c r="N159" s="7" t="str">
        <f>'[1]V, inciso p) (OP)'!X95</f>
        <v>GFU021009BC1</v>
      </c>
      <c r="O159" s="11">
        <f t="shared" si="5"/>
        <v>5204600.13</v>
      </c>
      <c r="P159" s="11">
        <v>5195941.8716000002</v>
      </c>
      <c r="Q159" s="7" t="s">
        <v>506</v>
      </c>
      <c r="R159" s="11">
        <f>O159/300</f>
        <v>17348.667099999999</v>
      </c>
      <c r="S159" s="7" t="s">
        <v>41</v>
      </c>
      <c r="T159" s="12">
        <v>88</v>
      </c>
      <c r="U159" s="13" t="s">
        <v>42</v>
      </c>
      <c r="V159" s="7" t="s">
        <v>43</v>
      </c>
      <c r="W159" s="10">
        <f>'[1]V, inciso p) (OP)'!AM95</f>
        <v>42688</v>
      </c>
      <c r="X159" s="10">
        <f>'[1]V, inciso p) (OP)'!AN95</f>
        <v>42759</v>
      </c>
      <c r="Y159" s="7" t="s">
        <v>484</v>
      </c>
      <c r="Z159" s="7" t="s">
        <v>485</v>
      </c>
      <c r="AA159" s="7" t="s">
        <v>94</v>
      </c>
      <c r="AB159" s="21" t="s">
        <v>1438</v>
      </c>
      <c r="AC159" s="6" t="s">
        <v>2438</v>
      </c>
      <c r="AD159" s="6"/>
    </row>
    <row r="160" spans="1:30" ht="69.95" customHeight="1">
      <c r="A160" s="34">
        <v>148</v>
      </c>
      <c r="B160" s="7">
        <v>2016</v>
      </c>
      <c r="C160" s="6" t="str">
        <f>'[1]V, inciso p) (OP)'!B96</f>
        <v>Licitación por Invitación Restringida</v>
      </c>
      <c r="D160" s="6" t="str">
        <f>'[1]V, inciso p) (OP)'!D96</f>
        <v>DOPI-MUN-R33-ELE-CI-148-2016</v>
      </c>
      <c r="E160" s="10">
        <f>'[1]V, inciso p) (OP)'!AD96</f>
        <v>42685</v>
      </c>
      <c r="F160" s="32" t="str">
        <f>'[1]V, inciso p) (OP)'!I96</f>
        <v>Primera etapa de alumbrado público en las calles Jardines del Vergel poniente y oriente, Jardines de los Olmos, Jardines de los Álamos, Jardines de los Cerezos, Jardines de las Magnolias, Jardines del Oyamel, Jardines de los Nísperos, Jardines de los Capulines, Jardines de los Tamarindos, Jardines de los Manzanos, Jardines del Jardines de las Parras, Jardines de los Ciruelos, Jardines de los Membrillos, Jardines de los Naranjos, Jardines de los Ébanos Oriente y Poniente, Jardines de los Robles Oriente y Poniente, Av. Del Vergel Poniente, Jardines de los Cerezos, Jardines de las Higueras, Jardines de las Caobas, Jardines del Oyamel, Jardines de la Rosa Morada, Jardines de los Abetos, Jardines de los Nogales, en la colonia Jardines del Vergel I sección; Primera etapa de alumbrado público en las calles Eucalipto, Ciprés, Aztecas. Daniel Duarte, Humberto Chavira, Las Torres, J. Carlos Rivera Aceves, José Bañuelos Guardado, en la colonia Lomas del Centinela, municipio de Zapopan, Jalisco.</v>
      </c>
      <c r="G160" s="6" t="s">
        <v>3318</v>
      </c>
      <c r="H160" s="39">
        <v>4251366.43</v>
      </c>
      <c r="I160" s="6" t="s">
        <v>2521</v>
      </c>
      <c r="J160" s="6" t="str">
        <f>'[1]V, inciso p) (OP)'!T96</f>
        <v>Héctor Alejandro</v>
      </c>
      <c r="K160" s="7" t="str">
        <f>'[1]V, inciso p) (OP)'!U96</f>
        <v>Ortega</v>
      </c>
      <c r="L160" s="7" t="str">
        <f>'[1]V, inciso p) (OP)'!V96</f>
        <v>Rosales</v>
      </c>
      <c r="M160" s="6" t="s">
        <v>3024</v>
      </c>
      <c r="N160" s="7" t="str">
        <f>'[1]V, inciso p) (OP)'!X96</f>
        <v>ISS920330811</v>
      </c>
      <c r="O160" s="11">
        <f t="shared" si="5"/>
        <v>4251366.43</v>
      </c>
      <c r="P160" s="11">
        <v>4250125.4000000004</v>
      </c>
      <c r="Q160" s="7" t="s">
        <v>507</v>
      </c>
      <c r="R160" s="11">
        <f>O160/1150</f>
        <v>3696.8403739130431</v>
      </c>
      <c r="S160" s="7" t="s">
        <v>41</v>
      </c>
      <c r="T160" s="12">
        <v>906</v>
      </c>
      <c r="U160" s="13" t="s">
        <v>42</v>
      </c>
      <c r="V160" s="7" t="s">
        <v>43</v>
      </c>
      <c r="W160" s="10">
        <f>'[1]V, inciso p) (OP)'!AM96</f>
        <v>42688</v>
      </c>
      <c r="X160" s="10">
        <f>'[1]V, inciso p) (OP)'!AN96</f>
        <v>42728</v>
      </c>
      <c r="Y160" s="7" t="s">
        <v>402</v>
      </c>
      <c r="Z160" s="7" t="s">
        <v>296</v>
      </c>
      <c r="AA160" s="7" t="s">
        <v>508</v>
      </c>
      <c r="AB160" s="21" t="s">
        <v>1439</v>
      </c>
      <c r="AC160" s="6" t="s">
        <v>2438</v>
      </c>
      <c r="AD160" s="6"/>
    </row>
    <row r="161" spans="1:30" ht="69.95" customHeight="1">
      <c r="A161" s="34">
        <v>149</v>
      </c>
      <c r="B161" s="7">
        <v>2016</v>
      </c>
      <c r="C161" s="6" t="str">
        <f>'[1]V, inciso p) (OP)'!B97</f>
        <v>Licitación por Invitación Restringida</v>
      </c>
      <c r="D161" s="6" t="str">
        <f>'[1]V, inciso p) (OP)'!D97</f>
        <v>DOPI-MUN-R33-AP-CI-149-2016</v>
      </c>
      <c r="E161" s="10">
        <f>'[1]V, inciso p) (OP)'!AD97</f>
        <v>42727</v>
      </c>
      <c r="F161" s="32" t="str">
        <f>'[1]V, inciso p) (OP)'!I97</f>
        <v>Construcción de línea de agua potable y drenaje sanitario en la calle Jícama, de calle Limón a cerrada, calle Carlos Herrera Jasso, de calle Limón a calle Jícama, Privada Mango, de calle Carlos Herrera Jasso a cerrada y Privada Fresa, de calle Carlos Herrera Jasso a cerrada, en la colonia Mesa Colorada Oriente; y Construcción de línea de drenaje sanitario en la calle Paseo de los Ahuehuetes, de calle Paseo de Los Almendros a calle de Paseo de los Guayabos y calle Paseo de los Guayabos, de calle Colorines a calle Paseo de los Ahuehuetes, en la colonia Mesa de Los Ocotes, en el municipio de Zapopan, Jalisco.</v>
      </c>
      <c r="G161" s="6" t="s">
        <v>3318</v>
      </c>
      <c r="H161" s="39">
        <v>4456704.66</v>
      </c>
      <c r="I161" s="6" t="str">
        <f>'[1]V, inciso p) (OP)'!AS97</f>
        <v>Colonia Mesa Colorada Oriente y colonia Mesa de los Ocotes</v>
      </c>
      <c r="J161" s="6" t="str">
        <f>'[1]V, inciso p) (OP)'!T97</f>
        <v>Eduardo</v>
      </c>
      <c r="K161" s="7" t="str">
        <f>'[1]V, inciso p) (OP)'!U97</f>
        <v>Romero</v>
      </c>
      <c r="L161" s="7" t="str">
        <f>'[1]V, inciso p) (OP)'!V97</f>
        <v>Lugo</v>
      </c>
      <c r="M161" s="6" t="s">
        <v>3025</v>
      </c>
      <c r="N161" s="7" t="str">
        <f>'[1]V, inciso p) (OP)'!X97</f>
        <v>ROS120904PV9</v>
      </c>
      <c r="O161" s="11">
        <f t="shared" si="5"/>
        <v>4456704.66</v>
      </c>
      <c r="P161" s="11">
        <v>4266610.1500000004</v>
      </c>
      <c r="Q161" s="7" t="s">
        <v>509</v>
      </c>
      <c r="R161" s="11">
        <f>O161/1349.88</f>
        <v>3301.5561827718016</v>
      </c>
      <c r="S161" s="7" t="s">
        <v>41</v>
      </c>
      <c r="T161" s="12">
        <v>302</v>
      </c>
      <c r="U161" s="13" t="s">
        <v>42</v>
      </c>
      <c r="V161" s="7" t="s">
        <v>43</v>
      </c>
      <c r="W161" s="10">
        <f>'[1]V, inciso p) (OP)'!AM97</f>
        <v>42730</v>
      </c>
      <c r="X161" s="10">
        <f>'[1]V, inciso p) (OP)'!AN97</f>
        <v>42831</v>
      </c>
      <c r="Y161" s="7" t="s">
        <v>441</v>
      </c>
      <c r="Z161" s="7" t="s">
        <v>442</v>
      </c>
      <c r="AA161" s="7" t="s">
        <v>443</v>
      </c>
      <c r="AB161" s="21" t="s">
        <v>1440</v>
      </c>
      <c r="AC161" s="6" t="s">
        <v>2438</v>
      </c>
      <c r="AD161" s="6"/>
    </row>
    <row r="162" spans="1:30" ht="69.95" customHeight="1">
      <c r="A162" s="34">
        <v>150</v>
      </c>
      <c r="B162" s="7">
        <v>2016</v>
      </c>
      <c r="C162" s="6" t="str">
        <f>'[1]V, inciso p) (OP)'!B98</f>
        <v>Licitación por Invitación Restringida</v>
      </c>
      <c r="D162" s="6" t="str">
        <f>'[1]V, inciso p) (OP)'!D98</f>
        <v>DOPI-MUN-RM-PAV-CI-150-2016</v>
      </c>
      <c r="E162" s="10">
        <f>'[1]V, inciso p) (OP)'!AD98</f>
        <v>42685</v>
      </c>
      <c r="F162" s="32" t="str">
        <f>'[1]V, inciso p) (OP)'!I98</f>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1, municipio de Zapopan, Jalisco.</v>
      </c>
      <c r="G162" s="6" t="s">
        <v>63</v>
      </c>
      <c r="H162" s="39">
        <v>4960902.49</v>
      </c>
      <c r="I162" s="6" t="str">
        <f>'[1]V, inciso p) (OP)'!AS98</f>
        <v>San Juan de Ocotán</v>
      </c>
      <c r="J162" s="6" t="str">
        <f>'[1]V, inciso p) (OP)'!T98</f>
        <v>David Eduardo</v>
      </c>
      <c r="K162" s="7" t="str">
        <f>'[1]V, inciso p) (OP)'!U98</f>
        <v>Lara</v>
      </c>
      <c r="L162" s="7" t="str">
        <f>'[1]V, inciso p) (OP)'!V98</f>
        <v>Ochoa</v>
      </c>
      <c r="M162" s="6" t="s">
        <v>3006</v>
      </c>
      <c r="N162" s="7" t="str">
        <f>'[1]V, inciso p) (OP)'!X98</f>
        <v>CIC080626ER2</v>
      </c>
      <c r="O162" s="11">
        <f t="shared" si="5"/>
        <v>4960902.49</v>
      </c>
      <c r="P162" s="11">
        <v>4427713.07</v>
      </c>
      <c r="Q162" s="7" t="s">
        <v>510</v>
      </c>
      <c r="R162" s="11">
        <f>O162/7500</f>
        <v>661.45366533333333</v>
      </c>
      <c r="S162" s="7" t="s">
        <v>41</v>
      </c>
      <c r="T162" s="12">
        <v>35640</v>
      </c>
      <c r="U162" s="13" t="s">
        <v>42</v>
      </c>
      <c r="V162" s="7" t="s">
        <v>43</v>
      </c>
      <c r="W162" s="10">
        <f>'[1]V, inciso p) (OP)'!AM98</f>
        <v>42688</v>
      </c>
      <c r="X162" s="10">
        <f>'[1]V, inciso p) (OP)'!AN98</f>
        <v>42728</v>
      </c>
      <c r="Y162" s="7" t="s">
        <v>375</v>
      </c>
      <c r="Z162" s="7" t="s">
        <v>252</v>
      </c>
      <c r="AA162" s="7" t="s">
        <v>253</v>
      </c>
      <c r="AB162" s="21" t="s">
        <v>1502</v>
      </c>
      <c r="AC162" s="6" t="s">
        <v>2438</v>
      </c>
      <c r="AD162" s="6"/>
    </row>
    <row r="163" spans="1:30" ht="69.95" customHeight="1">
      <c r="A163" s="34">
        <v>151</v>
      </c>
      <c r="B163" s="7">
        <v>2016</v>
      </c>
      <c r="C163" s="6" t="str">
        <f>'[1]V, inciso p) (OP)'!B99</f>
        <v>Licitación por Invitación Restringida</v>
      </c>
      <c r="D163" s="6" t="str">
        <f>'[1]V, inciso p) (OP)'!D99</f>
        <v>DOPI-MUN-RM-PAV-CI-151-2016</v>
      </c>
      <c r="E163" s="10">
        <f>'[1]V, inciso p) (OP)'!AD99</f>
        <v>42685</v>
      </c>
      <c r="F163" s="32" t="str">
        <f>'[1]V, inciso p) (OP)'!I99</f>
        <v>Reencarpetado de la vialidad, desbastado de la carpeta existente, nivelación de pozos de visita, cajas de válvulas, rejillas pluviales, bocas de tormenta y elementos estructurales que sobresalen de la rasante de la vialidad, calafateos, señalética horizontal en la Av. Aviación de Av. Vallarta a calle Ocampo frente 2, municipio de Zapopan, Jalisco.</v>
      </c>
      <c r="G163" s="6" t="s">
        <v>63</v>
      </c>
      <c r="H163" s="39">
        <v>4130342.71</v>
      </c>
      <c r="I163" s="6" t="str">
        <f>'[1]V, inciso p) (OP)'!AS99</f>
        <v>San Juan de Ocotán</v>
      </c>
      <c r="J163" s="6" t="str">
        <f>'[1]V, inciso p) (OP)'!T99</f>
        <v>Luis Armando</v>
      </c>
      <c r="K163" s="7" t="str">
        <f>'[1]V, inciso p) (OP)'!U99</f>
        <v>Linares</v>
      </c>
      <c r="L163" s="7" t="str">
        <f>'[1]V, inciso p) (OP)'!V99</f>
        <v>Cacho</v>
      </c>
      <c r="M163" s="6" t="s">
        <v>3002</v>
      </c>
      <c r="N163" s="7" t="str">
        <f>'[1]V, inciso p) (OP)'!X99</f>
        <v>URC160310857</v>
      </c>
      <c r="O163" s="11">
        <f t="shared" si="5"/>
        <v>4130342.71</v>
      </c>
      <c r="P163" s="11">
        <v>4109174.6100000003</v>
      </c>
      <c r="Q163" s="7" t="s">
        <v>511</v>
      </c>
      <c r="R163" s="11">
        <f>O163/3201</f>
        <v>1290.3288691034052</v>
      </c>
      <c r="S163" s="7" t="s">
        <v>41</v>
      </c>
      <c r="T163" s="12">
        <v>35640</v>
      </c>
      <c r="U163" s="13" t="s">
        <v>42</v>
      </c>
      <c r="V163" s="7" t="s">
        <v>43</v>
      </c>
      <c r="W163" s="10">
        <f>'[1]V, inciso p) (OP)'!AM99</f>
        <v>42688</v>
      </c>
      <c r="X163" s="10">
        <f>'[1]V, inciso p) (OP)'!AN99</f>
        <v>42728</v>
      </c>
      <c r="Y163" s="7" t="s">
        <v>375</v>
      </c>
      <c r="Z163" s="7" t="s">
        <v>252</v>
      </c>
      <c r="AA163" s="7" t="s">
        <v>253</v>
      </c>
      <c r="AB163" s="21" t="s">
        <v>1390</v>
      </c>
      <c r="AC163" s="6" t="s">
        <v>2438</v>
      </c>
      <c r="AD163" s="6"/>
    </row>
    <row r="164" spans="1:30" ht="69.95" customHeight="1">
      <c r="A164" s="34">
        <v>152</v>
      </c>
      <c r="B164" s="7">
        <v>2016</v>
      </c>
      <c r="C164" s="6" t="str">
        <f>'[1]V, inciso p) (OP)'!B100</f>
        <v>Licitación por Invitación Restringida</v>
      </c>
      <c r="D164" s="6" t="str">
        <f>'[1]V, inciso p) (OP)'!D100</f>
        <v>DOPI-MUN-RM-PAV-CI-152-2016</v>
      </c>
      <c r="E164" s="10">
        <f>'[1]V, inciso p) (OP)'!AD100</f>
        <v>42685</v>
      </c>
      <c r="F164" s="32" t="str">
        <f>'[1]V, inciso p) (OP)'!I100</f>
        <v>Reencarpetado de la vialidad, desbastado de la carpeta existente, nivelación de pozos de visita, cajas de válvulas, rejillas pluviales, bocas de tormenta y elementos estructurales que sobresalen de la rasante de la vialidad, calafateos, señalética horizontal en la Av. 5 de Mayo de Periférico Poniente a Av. Aviación, municipio de Zapopan, Jalisco.</v>
      </c>
      <c r="G164" s="6" t="s">
        <v>3308</v>
      </c>
      <c r="H164" s="39">
        <v>5069996.18</v>
      </c>
      <c r="I164" s="6" t="str">
        <f>'[1]V, inciso p) (OP)'!AS100</f>
        <v>San Juan de Ocotán</v>
      </c>
      <c r="J164" s="6" t="str">
        <f>'[1]V, inciso p) (OP)'!T100</f>
        <v>Carlos Ignacio</v>
      </c>
      <c r="K164" s="7" t="str">
        <f>'[1]V, inciso p) (OP)'!U100</f>
        <v>Curiel</v>
      </c>
      <c r="L164" s="7" t="str">
        <f>'[1]V, inciso p) (OP)'!V100</f>
        <v>Dueñas</v>
      </c>
      <c r="M164" s="6" t="s">
        <v>2966</v>
      </c>
      <c r="N164" s="7" t="str">
        <f>'[1]V, inciso p) (OP)'!X100</f>
        <v>CCE130723IR7</v>
      </c>
      <c r="O164" s="11">
        <f t="shared" si="5"/>
        <v>5069996.18</v>
      </c>
      <c r="P164" s="11">
        <v>4948098.82</v>
      </c>
      <c r="Q164" s="7" t="s">
        <v>512</v>
      </c>
      <c r="R164" s="11">
        <f>O164/16033</f>
        <v>316.2225522360132</v>
      </c>
      <c r="S164" s="7" t="s">
        <v>41</v>
      </c>
      <c r="T164" s="12">
        <v>4226</v>
      </c>
      <c r="U164" s="13" t="s">
        <v>42</v>
      </c>
      <c r="V164" s="7" t="s">
        <v>43</v>
      </c>
      <c r="W164" s="10">
        <f>'[1]V, inciso p) (OP)'!AM100</f>
        <v>42688</v>
      </c>
      <c r="X164" s="10">
        <f>'[1]V, inciso p) (OP)'!AN100</f>
        <v>42728</v>
      </c>
      <c r="Y164" s="7" t="s">
        <v>375</v>
      </c>
      <c r="Z164" s="7" t="s">
        <v>252</v>
      </c>
      <c r="AA164" s="7" t="s">
        <v>253</v>
      </c>
      <c r="AB164" s="21" t="s">
        <v>2785</v>
      </c>
      <c r="AC164" s="6" t="s">
        <v>2438</v>
      </c>
      <c r="AD164" s="6"/>
    </row>
    <row r="165" spans="1:30" ht="69.95" customHeight="1">
      <c r="A165" s="34">
        <v>153</v>
      </c>
      <c r="B165" s="7">
        <v>2016</v>
      </c>
      <c r="C165" s="6" t="str">
        <f>'[1]V, inciso p) (OP)'!B101</f>
        <v>Licitación por Invitación Restringida</v>
      </c>
      <c r="D165" s="6" t="str">
        <f>'[1]V, inciso p) (OP)'!D101</f>
        <v>DOPI-MUN-RM-PAV-CI-153-2016</v>
      </c>
      <c r="E165" s="10">
        <f>'[1]V, inciso p) (OP)'!AD101</f>
        <v>42685</v>
      </c>
      <c r="F165" s="32" t="str">
        <f>'[1]V, inciso p) (OP)'!I101</f>
        <v>Construcción de pavimento de concreto hidráulico MR-45, de línea de agua potable, drenaje sanitario, electrificación, alumbrado público, guarniciones, banqueta, señalética horizontal y vertical en la calle Capulín, en la localidad de Tesistán, municipio de Zapopan, Jalisco.</v>
      </c>
      <c r="G165" s="6" t="s">
        <v>63</v>
      </c>
      <c r="H165" s="39">
        <v>7253719.3200000003</v>
      </c>
      <c r="I165" s="6" t="str">
        <f>'[1]V, inciso p) (OP)'!AS101</f>
        <v>Localidad de Tesistán</v>
      </c>
      <c r="J165" s="6" t="str">
        <f>'[1]V, inciso p) (OP)'!T101</f>
        <v xml:space="preserve"> Martha </v>
      </c>
      <c r="K165" s="7" t="str">
        <f>'[1]V, inciso p) (OP)'!U101</f>
        <v>Jiménez</v>
      </c>
      <c r="L165" s="7" t="str">
        <f>'[1]V, inciso p) (OP)'!V101</f>
        <v>López</v>
      </c>
      <c r="M165" s="6" t="s">
        <v>3026</v>
      </c>
      <c r="N165" s="7" t="str">
        <f>'[1]V, inciso p) (OP)'!X101</f>
        <v>IBO090918ET9</v>
      </c>
      <c r="O165" s="11">
        <f t="shared" si="5"/>
        <v>7253719.3200000003</v>
      </c>
      <c r="P165" s="11">
        <v>7234912.5500000007</v>
      </c>
      <c r="Q165" s="7" t="s">
        <v>513</v>
      </c>
      <c r="R165" s="11">
        <f>O165/3682</f>
        <v>1970.0487017925041</v>
      </c>
      <c r="S165" s="7" t="s">
        <v>41</v>
      </c>
      <c r="T165" s="12">
        <v>125</v>
      </c>
      <c r="U165" s="13" t="s">
        <v>42</v>
      </c>
      <c r="V165" s="7" t="s">
        <v>43</v>
      </c>
      <c r="W165" s="10">
        <f>'[1]V, inciso p) (OP)'!AM101</f>
        <v>42688</v>
      </c>
      <c r="X165" s="10">
        <f>'[1]V, inciso p) (OP)'!AN101</f>
        <v>42728</v>
      </c>
      <c r="Y165" s="7" t="s">
        <v>331</v>
      </c>
      <c r="Z165" s="7" t="s">
        <v>332</v>
      </c>
      <c r="AA165" s="7" t="s">
        <v>116</v>
      </c>
      <c r="AB165" s="21" t="s">
        <v>2823</v>
      </c>
      <c r="AC165" s="6" t="s">
        <v>2438</v>
      </c>
      <c r="AD165" s="6"/>
    </row>
    <row r="166" spans="1:30" ht="69.95" customHeight="1">
      <c r="A166" s="34">
        <v>154</v>
      </c>
      <c r="B166" s="7">
        <v>2016</v>
      </c>
      <c r="C166" s="6" t="str">
        <f>'[1]V, inciso p) (OP)'!B102</f>
        <v>Licitación por Invitación Restringida</v>
      </c>
      <c r="D166" s="6" t="str">
        <f>'[1]V, inciso p) (OP)'!D102</f>
        <v>DOPI-MUN-RM-PAV-CI-154-2016</v>
      </c>
      <c r="E166" s="10">
        <f>'[1]V, inciso p) (OP)'!AD102</f>
        <v>42685</v>
      </c>
      <c r="F166" s="32" t="str">
        <f>'[1]V, inciso p) (OP)'!I102</f>
        <v>Construcción de la primera etapa de pavimento de concreto hidráulico MR-45, línea de agua potable, drenaje sanitario, colector sanitario, guarniciones, banqueta, bocas de tormenta en la calle Navio de la Av. La Calma a calle Boyero, en la colonia La Calma, municipio de Zapopan, Jalisco.</v>
      </c>
      <c r="G166" s="6" t="s">
        <v>3308</v>
      </c>
      <c r="H166" s="39">
        <v>3382310.92</v>
      </c>
      <c r="I166" s="6" t="str">
        <f>'[1]V, inciso p) (OP)'!AS102</f>
        <v>Colonia La Calma</v>
      </c>
      <c r="J166" s="6" t="str">
        <f>'[1]V, inciso p) (OP)'!T102</f>
        <v>Carlos</v>
      </c>
      <c r="K166" s="7" t="str">
        <f>'[1]V, inciso p) (OP)'!U102</f>
        <v>Pérez</v>
      </c>
      <c r="L166" s="7" t="str">
        <f>'[1]V, inciso p) (OP)'!V102</f>
        <v>Cruz</v>
      </c>
      <c r="M166" s="6" t="s">
        <v>3027</v>
      </c>
      <c r="N166" s="7" t="str">
        <f>'[1]V, inciso p) (OP)'!X102</f>
        <v>CPE070123PD4</v>
      </c>
      <c r="O166" s="11">
        <f t="shared" si="5"/>
        <v>3382310.92</v>
      </c>
      <c r="P166" s="11">
        <v>3277845.48</v>
      </c>
      <c r="Q166" s="7" t="s">
        <v>514</v>
      </c>
      <c r="R166" s="11">
        <f>O166/1598</f>
        <v>2116.5900625782228</v>
      </c>
      <c r="S166" s="7" t="s">
        <v>41</v>
      </c>
      <c r="T166" s="12">
        <v>266</v>
      </c>
      <c r="U166" s="13" t="s">
        <v>42</v>
      </c>
      <c r="V166" s="7" t="s">
        <v>43</v>
      </c>
      <c r="W166" s="10">
        <f>'[1]V, inciso p) (OP)'!AM102</f>
        <v>42688</v>
      </c>
      <c r="X166" s="10">
        <f>'[1]V, inciso p) (OP)'!AN102</f>
        <v>42728</v>
      </c>
      <c r="Y166" s="7" t="s">
        <v>431</v>
      </c>
      <c r="Z166" s="7" t="s">
        <v>181</v>
      </c>
      <c r="AA166" s="7" t="s">
        <v>89</v>
      </c>
      <c r="AB166" s="21" t="s">
        <v>1391</v>
      </c>
      <c r="AC166" s="6" t="s">
        <v>2438</v>
      </c>
      <c r="AD166" s="6"/>
    </row>
    <row r="167" spans="1:30" ht="69.95" customHeight="1">
      <c r="A167" s="34">
        <v>155</v>
      </c>
      <c r="B167" s="7">
        <v>2016</v>
      </c>
      <c r="C167" s="6" t="str">
        <f>'[1]V, inciso p) (OP)'!B103</f>
        <v>Licitación por Invitación Restringida</v>
      </c>
      <c r="D167" s="6" t="str">
        <f>'[1]V, inciso p) (OP)'!D103</f>
        <v>DOPI-MUN-RM-PAV-CI-155-2016</v>
      </c>
      <c r="E167" s="10">
        <f>'[1]V, inciso p) (OP)'!AD103</f>
        <v>42685</v>
      </c>
      <c r="F167" s="32" t="str">
        <f>'[1]V, inciso p) (OP)'!I103</f>
        <v>Construcción de empedrado tradicional y huellas de rodamiento de concreto hidráulico MR-42, cunetas, guarniciones, banquetas, señalamiento vertical y horizontal en el camino al Arenero, municipio de Zapopan, Jalisco.</v>
      </c>
      <c r="G167" s="6" t="s">
        <v>3308</v>
      </c>
      <c r="H167" s="39">
        <v>7468157.6799999997</v>
      </c>
      <c r="I167" s="6" t="str">
        <f>'[1]V, inciso p) (OP)'!AS103</f>
        <v>Colonia Bajío</v>
      </c>
      <c r="J167" s="6" t="str">
        <f>'[1]V, inciso p) (OP)'!T103</f>
        <v>Arturo</v>
      </c>
      <c r="K167" s="7" t="str">
        <f>'[1]V, inciso p) (OP)'!U103</f>
        <v>Rangel</v>
      </c>
      <c r="L167" s="7" t="str">
        <f>'[1]V, inciso p) (OP)'!V103</f>
        <v>Paez</v>
      </c>
      <c r="M167" s="6" t="s">
        <v>3028</v>
      </c>
      <c r="N167" s="7" t="str">
        <f>'[1]V, inciso p) (OP)'!X103</f>
        <v>CLA890925ER5</v>
      </c>
      <c r="O167" s="11">
        <f t="shared" si="5"/>
        <v>7468157.6799999997</v>
      </c>
      <c r="P167" s="11">
        <v>7468128.5499999998</v>
      </c>
      <c r="Q167" s="7" t="s">
        <v>515</v>
      </c>
      <c r="R167" s="11">
        <f>O167/6512</f>
        <v>1146.8301105651105</v>
      </c>
      <c r="S167" s="7" t="s">
        <v>41</v>
      </c>
      <c r="T167" s="12">
        <v>1224</v>
      </c>
      <c r="U167" s="13" t="s">
        <v>42</v>
      </c>
      <c r="V167" s="7" t="s">
        <v>43</v>
      </c>
      <c r="W167" s="10">
        <f>'[1]V, inciso p) (OP)'!AM103</f>
        <v>42688</v>
      </c>
      <c r="X167" s="10">
        <f>'[1]V, inciso p) (OP)'!AN103</f>
        <v>42728</v>
      </c>
      <c r="Y167" s="7" t="s">
        <v>317</v>
      </c>
      <c r="Z167" s="7" t="s">
        <v>191</v>
      </c>
      <c r="AA167" s="7" t="s">
        <v>192</v>
      </c>
      <c r="AB167" s="21" t="s">
        <v>1441</v>
      </c>
      <c r="AC167" s="6" t="s">
        <v>2438</v>
      </c>
      <c r="AD167" s="6"/>
    </row>
    <row r="168" spans="1:30" ht="69.95" customHeight="1">
      <c r="A168" s="34">
        <v>156</v>
      </c>
      <c r="B168" s="7">
        <v>2016</v>
      </c>
      <c r="C168" s="6" t="str">
        <f>'[1]V, inciso p) (OP)'!B104</f>
        <v>Licitación por Invitación Restringida</v>
      </c>
      <c r="D168" s="6" t="str">
        <f>'[1]V, inciso p) (OP)'!D104</f>
        <v>DOPI-MUN-RM-IE-CI-156-2016</v>
      </c>
      <c r="E168" s="10">
        <f>'[1]V, inciso p) (OP)'!AD104</f>
        <v>42685</v>
      </c>
      <c r="F168" s="32" t="str">
        <f>'[1]V, inciso p) (OP)'!I104</f>
        <v>Suministro y colocación de estructuras de protección de rayos ultravioleta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
      <c r="G168" s="6" t="s">
        <v>63</v>
      </c>
      <c r="H168" s="39">
        <v>4189228.4</v>
      </c>
      <c r="I168" s="6" t="s">
        <v>2522</v>
      </c>
      <c r="J168" s="6" t="str">
        <f>'[1]V, inciso p) (OP)'!T104</f>
        <v>Eduardo</v>
      </c>
      <c r="K168" s="7" t="str">
        <f>'[1]V, inciso p) (OP)'!U104</f>
        <v>Cruz</v>
      </c>
      <c r="L168" s="7" t="str">
        <f>'[1]V, inciso p) (OP)'!V104</f>
        <v>Moguel</v>
      </c>
      <c r="M168" s="6" t="s">
        <v>3029</v>
      </c>
      <c r="N168" s="7" t="str">
        <f>'[1]V, inciso p) (OP)'!X104</f>
        <v>BAL990803661</v>
      </c>
      <c r="O168" s="11">
        <f t="shared" si="5"/>
        <v>4189228.4</v>
      </c>
      <c r="P168" s="11">
        <v>3838317.1099999994</v>
      </c>
      <c r="Q168" s="7" t="s">
        <v>516</v>
      </c>
      <c r="R168" s="11">
        <f>O168/3208</f>
        <v>1305.8692019950124</v>
      </c>
      <c r="S168" s="7" t="s">
        <v>41</v>
      </c>
      <c r="T168" s="12">
        <v>2831</v>
      </c>
      <c r="U168" s="13" t="s">
        <v>42</v>
      </c>
      <c r="V168" s="7" t="s">
        <v>43</v>
      </c>
      <c r="W168" s="10">
        <f>'[1]V, inciso p) (OP)'!AM104</f>
        <v>42688</v>
      </c>
      <c r="X168" s="10">
        <f>'[1]V, inciso p) (OP)'!AN104</f>
        <v>42728</v>
      </c>
      <c r="Y168" s="7" t="s">
        <v>462</v>
      </c>
      <c r="Z168" s="7" t="s">
        <v>138</v>
      </c>
      <c r="AA168" s="7" t="s">
        <v>463</v>
      </c>
      <c r="AB168" s="21" t="s">
        <v>1442</v>
      </c>
      <c r="AC168" s="6" t="s">
        <v>2438</v>
      </c>
      <c r="AD168" s="6"/>
    </row>
    <row r="169" spans="1:30" ht="69.95" customHeight="1">
      <c r="A169" s="34">
        <v>157</v>
      </c>
      <c r="B169" s="7">
        <v>2016</v>
      </c>
      <c r="C169" s="6" t="str">
        <f>'[1]V, inciso p) (OP)'!B105</f>
        <v>Licitación por Invitación Restringida</v>
      </c>
      <c r="D169" s="6" t="str">
        <f>'[1]V, inciso p) (OP)'!D105</f>
        <v>DOPI-MUN-RM-IE-CI-157-2016</v>
      </c>
      <c r="E169" s="10">
        <f>'[1]V, inciso p) (OP)'!AD105</f>
        <v>42685</v>
      </c>
      <c r="F169" s="32" t="str">
        <f>'[1]V, inciso p) (OP)'!I105</f>
        <v>Suministro y colocación de estructuras de protección de rayos ultravioleta en los planteles educativos: Escuela Primaria Emiliano Zapata y Lázaro Cárdenas del Río, matricula 493, colonia San Isidro Ejidal; Escuela Primaria Ramón López Velarde, matricula 478, colonia Arcos de Zapopan tercera sección; Escuela Primaria Valentín Gómez Farias, matricula 243, colonia San Isidro Ejidal; Escuela Primaria José María Morelos y Pavón, matricula 194, colonia San José del Bajío, municipio de Zapopan, Jalisco.</v>
      </c>
      <c r="G169" s="6" t="s">
        <v>3308</v>
      </c>
      <c r="H169" s="39">
        <v>3269771.91</v>
      </c>
      <c r="I169" s="6" t="s">
        <v>2523</v>
      </c>
      <c r="J169" s="6" t="str">
        <f>'[1]V, inciso p) (OP)'!T105</f>
        <v>Vicente</v>
      </c>
      <c r="K169" s="7" t="str">
        <f>'[1]V, inciso p) (OP)'!U105</f>
        <v>Mendoza</v>
      </c>
      <c r="L169" s="7" t="str">
        <f>'[1]V, inciso p) (OP)'!V105</f>
        <v>Lamas</v>
      </c>
      <c r="M169" s="6" t="s">
        <v>3030</v>
      </c>
      <c r="N169" s="7" t="str">
        <f>'[1]V, inciso p) (OP)'!X105</f>
        <v>CUA130425I70</v>
      </c>
      <c r="O169" s="11">
        <f t="shared" si="5"/>
        <v>3269771.91</v>
      </c>
      <c r="P169" s="11">
        <v>3202169.05</v>
      </c>
      <c r="Q169" s="7" t="s">
        <v>517</v>
      </c>
      <c r="R169" s="11">
        <f>O169/2548</f>
        <v>1283.2699803767662</v>
      </c>
      <c r="S169" s="7" t="s">
        <v>41</v>
      </c>
      <c r="T169" s="12">
        <v>1402</v>
      </c>
      <c r="U169" s="13" t="s">
        <v>42</v>
      </c>
      <c r="V169" s="7" t="s">
        <v>43</v>
      </c>
      <c r="W169" s="10">
        <f>'[1]V, inciso p) (OP)'!AM105</f>
        <v>42688</v>
      </c>
      <c r="X169" s="10">
        <f>'[1]V, inciso p) (OP)'!AN105</f>
        <v>42728</v>
      </c>
      <c r="Y169" s="7" t="s">
        <v>501</v>
      </c>
      <c r="Z169" s="7" t="s">
        <v>502</v>
      </c>
      <c r="AA169" s="7" t="s">
        <v>503</v>
      </c>
      <c r="AB169" s="21" t="s">
        <v>1503</v>
      </c>
      <c r="AC169" s="6" t="s">
        <v>2438</v>
      </c>
      <c r="AD169" s="6"/>
    </row>
    <row r="170" spans="1:30" ht="69.95" customHeight="1">
      <c r="A170" s="34">
        <v>158</v>
      </c>
      <c r="B170" s="7">
        <v>2016</v>
      </c>
      <c r="C170" s="6" t="str">
        <f>'[1]V, inciso p) (OP)'!B106</f>
        <v>Licitación por Invitación Restringida</v>
      </c>
      <c r="D170" s="6" t="str">
        <f>'[1]V, inciso p) (OP)'!D106</f>
        <v>DOPI-MUN-RM-IE-CI-158-2016</v>
      </c>
      <c r="E170" s="10">
        <f>'[1]V, inciso p) (OP)'!AD106</f>
        <v>42685</v>
      </c>
      <c r="F170" s="32" t="str">
        <f>'[1]V, inciso p) (OP)'!I106</f>
        <v>Suministro y colocación de estructuras de protección de rayos ultravioleta en los planteles educativos: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
      <c r="G170" s="6" t="s">
        <v>3308</v>
      </c>
      <c r="H170" s="39">
        <v>3328458.75</v>
      </c>
      <c r="I170" s="6" t="s">
        <v>2524</v>
      </c>
      <c r="J170" s="6" t="str">
        <f>'[1]V, inciso p) (OP)'!T106</f>
        <v>J. Gerardo</v>
      </c>
      <c r="K170" s="7" t="str">
        <f>'[1]V, inciso p) (OP)'!U106</f>
        <v>Nicanor</v>
      </c>
      <c r="L170" s="7" t="str">
        <f>'[1]V, inciso p) (OP)'!V106</f>
        <v>Mejia Mariscal</v>
      </c>
      <c r="M170" s="6" t="s">
        <v>2983</v>
      </c>
      <c r="N170" s="7" t="str">
        <f>'[1]V, inciso p) (OP)'!X106</f>
        <v>ICO980722M04</v>
      </c>
      <c r="O170" s="11">
        <f t="shared" si="5"/>
        <v>3328458.75</v>
      </c>
      <c r="P170" s="11">
        <v>3289362.3600000003</v>
      </c>
      <c r="Q170" s="7" t="s">
        <v>518</v>
      </c>
      <c r="R170" s="11">
        <f>O170/2378</f>
        <v>1399.6882884777124</v>
      </c>
      <c r="S170" s="7" t="s">
        <v>41</v>
      </c>
      <c r="T170" s="12">
        <v>1020</v>
      </c>
      <c r="U170" s="13" t="s">
        <v>42</v>
      </c>
      <c r="V170" s="7" t="s">
        <v>43</v>
      </c>
      <c r="W170" s="10">
        <f>'[1]V, inciso p) (OP)'!AM106</f>
        <v>42688</v>
      </c>
      <c r="X170" s="10">
        <f>'[1]V, inciso p) (OP)'!AN106</f>
        <v>42728</v>
      </c>
      <c r="Y170" s="7" t="s">
        <v>429</v>
      </c>
      <c r="Z170" s="7" t="s">
        <v>290</v>
      </c>
      <c r="AA170" s="7" t="s">
        <v>73</v>
      </c>
      <c r="AB170" s="21" t="s">
        <v>2786</v>
      </c>
      <c r="AC170" s="6" t="s">
        <v>2438</v>
      </c>
      <c r="AD170" s="6"/>
    </row>
    <row r="171" spans="1:30" ht="69.95" customHeight="1">
      <c r="A171" s="34">
        <v>159</v>
      </c>
      <c r="B171" s="7">
        <v>2016</v>
      </c>
      <c r="C171" s="6" t="s">
        <v>62</v>
      </c>
      <c r="D171" s="6" t="str">
        <f>'[1]V, inciso o) (OP)'!C72</f>
        <v>DOPI-MUN-RM-PAV-AD-159-2016</v>
      </c>
      <c r="E171" s="10">
        <f>'[1]V, inciso o) (OP)'!V72</f>
        <v>42613</v>
      </c>
      <c r="F171" s="32" t="str">
        <f>'[1]V, inciso o) (OP)'!AA72</f>
        <v>Sustitución de rejillas en bocas de tormenta en Avenida Patria ente Avila Camacho y Real Acueducto, en Avenida Tepeyac entre Manuel J. Clouthier y limite municipal, lateral Periférico en su cruce con Mariano Otero, municipio de Zapopan, Jalisco</v>
      </c>
      <c r="G171" s="6" t="s">
        <v>3308</v>
      </c>
      <c r="H171" s="39">
        <v>1439734.18</v>
      </c>
      <c r="I171" s="6" t="s">
        <v>1317</v>
      </c>
      <c r="J171" s="6" t="str">
        <f>'[1]V, inciso o) (OP)'!M72</f>
        <v>José Jaime</v>
      </c>
      <c r="K171" s="7" t="str">
        <f>'[1]V, inciso o) (OP)'!N72</f>
        <v>Camarena</v>
      </c>
      <c r="L171" s="7" t="str">
        <f>'[1]V, inciso o) (OP)'!O72</f>
        <v>Correa</v>
      </c>
      <c r="M171" s="6" t="s">
        <v>3031</v>
      </c>
      <c r="N171" s="7" t="str">
        <f>'[1]V, inciso o) (OP)'!Q72</f>
        <v>FCO110711N24</v>
      </c>
      <c r="O171" s="11">
        <f>'[1]V, inciso o) (OP)'!Y72</f>
        <v>1439734.18</v>
      </c>
      <c r="P171" s="11">
        <v>939813.09</v>
      </c>
      <c r="Q171" s="7" t="s">
        <v>519</v>
      </c>
      <c r="R171" s="11">
        <f>O171/15</f>
        <v>95982.278666666665</v>
      </c>
      <c r="S171" s="7" t="s">
        <v>41</v>
      </c>
      <c r="T171" s="12">
        <v>102366</v>
      </c>
      <c r="U171" s="13" t="s">
        <v>42</v>
      </c>
      <c r="V171" s="7" t="s">
        <v>43</v>
      </c>
      <c r="W171" s="10">
        <f>'[1]V, inciso o) (OP)'!AD72</f>
        <v>42618</v>
      </c>
      <c r="X171" s="10">
        <f>'[1]V, inciso o) (OP)'!AE72</f>
        <v>42658</v>
      </c>
      <c r="Y171" s="7" t="s">
        <v>394</v>
      </c>
      <c r="Z171" s="7" t="s">
        <v>279</v>
      </c>
      <c r="AA171" s="7" t="s">
        <v>78</v>
      </c>
      <c r="AB171" s="21" t="s">
        <v>1443</v>
      </c>
      <c r="AC171" s="6" t="s">
        <v>2438</v>
      </c>
      <c r="AD171" s="6"/>
    </row>
    <row r="172" spans="1:30" ht="69.95" customHeight="1">
      <c r="A172" s="34">
        <v>160</v>
      </c>
      <c r="B172" s="7">
        <v>2016</v>
      </c>
      <c r="C172" s="6" t="s">
        <v>62</v>
      </c>
      <c r="D172" s="6" t="str">
        <f>'[1]V, inciso o) (OP)'!C73</f>
        <v>DOPI-MUN-RM-PAV-AD-160-2016</v>
      </c>
      <c r="E172" s="10">
        <f>'[1]V, inciso o) (OP)'!V73</f>
        <v>42615</v>
      </c>
      <c r="F172" s="6" t="str">
        <f>'[1]V, inciso o) (OP)'!AA73</f>
        <v>Programa emergente de bacheo de vialidades en Zapopan Centro tramo 1, municipio de Zapopan, Jalisco.</v>
      </c>
      <c r="G172" s="6" t="s">
        <v>3308</v>
      </c>
      <c r="H172" s="39">
        <v>998750.24</v>
      </c>
      <c r="I172" s="6" t="s">
        <v>1317</v>
      </c>
      <c r="J172" s="6" t="str">
        <f>'[1]V, inciso o) (OP)'!M73</f>
        <v>Luis Armando</v>
      </c>
      <c r="K172" s="7" t="str">
        <f>'[1]V, inciso o) (OP)'!N73</f>
        <v>Linares</v>
      </c>
      <c r="L172" s="7" t="str">
        <f>'[1]V, inciso o) (OP)'!O73</f>
        <v>Cacho</v>
      </c>
      <c r="M172" s="6" t="s">
        <v>3002</v>
      </c>
      <c r="N172" s="7" t="str">
        <f>'[1]V, inciso o) (OP)'!Q73</f>
        <v>URC160310857</v>
      </c>
      <c r="O172" s="11">
        <f>'[1]V, inciso o) (OP)'!Y73</f>
        <v>998750.24</v>
      </c>
      <c r="P172" s="11">
        <v>998750.23</v>
      </c>
      <c r="Q172" s="7" t="s">
        <v>520</v>
      </c>
      <c r="R172" s="11">
        <f>O172/5625</f>
        <v>177.55559822222222</v>
      </c>
      <c r="S172" s="7" t="s">
        <v>41</v>
      </c>
      <c r="T172" s="12">
        <v>17598</v>
      </c>
      <c r="U172" s="13" t="s">
        <v>42</v>
      </c>
      <c r="V172" s="7" t="s">
        <v>43</v>
      </c>
      <c r="W172" s="10">
        <f>'[1]V, inciso o) (OP)'!AD73</f>
        <v>42618</v>
      </c>
      <c r="X172" s="10">
        <f>'[1]V, inciso o) (OP)'!AE73</f>
        <v>42674</v>
      </c>
      <c r="Y172" s="7" t="s">
        <v>521</v>
      </c>
      <c r="Z172" s="7" t="s">
        <v>522</v>
      </c>
      <c r="AA172" s="7" t="s">
        <v>523</v>
      </c>
      <c r="AB172" s="21" t="s">
        <v>2564</v>
      </c>
      <c r="AC172" s="6" t="s">
        <v>2438</v>
      </c>
      <c r="AD172" s="6"/>
    </row>
    <row r="173" spans="1:30" ht="69.95" customHeight="1">
      <c r="A173" s="34">
        <v>161</v>
      </c>
      <c r="B173" s="7">
        <v>2016</v>
      </c>
      <c r="C173" s="6" t="s">
        <v>62</v>
      </c>
      <c r="D173" s="6" t="str">
        <f>'[1]V, inciso o) (OP)'!C74</f>
        <v>DOPI-MUN-RM-PAV-AD-161-2016</v>
      </c>
      <c r="E173" s="10">
        <f>'[1]V, inciso o) (OP)'!V74</f>
        <v>42615</v>
      </c>
      <c r="F173" s="6" t="str">
        <f>'[1]V, inciso o) (OP)'!AA74</f>
        <v>Programa emergente de bacheo de vialidades en Zapopan Centro tramo 2, municipio de Zapopan, Jalisco.</v>
      </c>
      <c r="G173" s="6" t="s">
        <v>3308</v>
      </c>
      <c r="H173" s="39">
        <v>999587.49</v>
      </c>
      <c r="I173" s="6" t="s">
        <v>1317</v>
      </c>
      <c r="J173" s="6" t="str">
        <f>'[1]V, inciso o) (OP)'!M74</f>
        <v>Orlando</v>
      </c>
      <c r="K173" s="7" t="str">
        <f>'[1]V, inciso o) (OP)'!N74</f>
        <v>Hijar</v>
      </c>
      <c r="L173" s="7" t="str">
        <f>'[1]V, inciso o) (OP)'!O74</f>
        <v>Casillas</v>
      </c>
      <c r="M173" s="6" t="s">
        <v>328</v>
      </c>
      <c r="N173" s="7" t="str">
        <f>'[1]V, inciso o) (OP)'!Q74</f>
        <v>CUC121107NV2</v>
      </c>
      <c r="O173" s="11">
        <f>'[1]V, inciso o) (OP)'!Y74</f>
        <v>999587.49</v>
      </c>
      <c r="P173" s="11">
        <v>999587.48</v>
      </c>
      <c r="Q173" s="7" t="s">
        <v>524</v>
      </c>
      <c r="R173" s="11">
        <f>O173/5612</f>
        <v>178.11608873841769</v>
      </c>
      <c r="S173" s="7" t="s">
        <v>41</v>
      </c>
      <c r="T173" s="12">
        <v>18966</v>
      </c>
      <c r="U173" s="13" t="s">
        <v>42</v>
      </c>
      <c r="V173" s="7" t="s">
        <v>43</v>
      </c>
      <c r="W173" s="10">
        <f>'[1]V, inciso o) (OP)'!AD74</f>
        <v>42618</v>
      </c>
      <c r="X173" s="10">
        <f>'[1]V, inciso o) (OP)'!AE74</f>
        <v>42674</v>
      </c>
      <c r="Y173" s="7" t="s">
        <v>521</v>
      </c>
      <c r="Z173" s="7" t="s">
        <v>522</v>
      </c>
      <c r="AA173" s="7" t="s">
        <v>523</v>
      </c>
      <c r="AB173" s="21" t="s">
        <v>2565</v>
      </c>
      <c r="AC173" s="6" t="s">
        <v>2438</v>
      </c>
      <c r="AD173" s="6"/>
    </row>
    <row r="174" spans="1:30" ht="69.95" customHeight="1">
      <c r="A174" s="34">
        <v>162</v>
      </c>
      <c r="B174" s="7">
        <v>2016</v>
      </c>
      <c r="C174" s="6" t="s">
        <v>62</v>
      </c>
      <c r="D174" s="6" t="str">
        <f>'[1]V, inciso o) (OP)'!C75</f>
        <v>DOPI-MUN-RM-PAV-AD-162-2016</v>
      </c>
      <c r="E174" s="10">
        <f>'[1]V, inciso o) (OP)'!V75</f>
        <v>42615</v>
      </c>
      <c r="F174" s="6" t="str">
        <f>'[1]V, inciso o) (OP)'!AA75</f>
        <v>Programa emergente de bacheo de vialidades en Zapopan Sur tramo 1, municipio de Zapopan, Jalisco.</v>
      </c>
      <c r="G174" s="6" t="s">
        <v>3308</v>
      </c>
      <c r="H174" s="39">
        <v>1000115.36</v>
      </c>
      <c r="I174" s="6" t="s">
        <v>1317</v>
      </c>
      <c r="J174" s="6" t="str">
        <f>'[1]V, inciso o) (OP)'!M75</f>
        <v>Ignacio Javier</v>
      </c>
      <c r="K174" s="7" t="str">
        <f>'[1]V, inciso o) (OP)'!N75</f>
        <v>Curiel</v>
      </c>
      <c r="L174" s="7" t="str">
        <f>'[1]V, inciso o) (OP)'!O75</f>
        <v>Dueñas</v>
      </c>
      <c r="M174" s="6" t="s">
        <v>248</v>
      </c>
      <c r="N174" s="7" t="str">
        <f>'[1]V, inciso o) (OP)'!Q75</f>
        <v>TCM100915HA1</v>
      </c>
      <c r="O174" s="11">
        <f>'[1]V, inciso o) (OP)'!Y75</f>
        <v>1000115.36</v>
      </c>
      <c r="P174" s="11">
        <v>999274.61</v>
      </c>
      <c r="Q174" s="7" t="s">
        <v>525</v>
      </c>
      <c r="R174" s="11">
        <f>O174/5721</f>
        <v>174.81478063275651</v>
      </c>
      <c r="S174" s="7" t="s">
        <v>41</v>
      </c>
      <c r="T174" s="12">
        <v>18521</v>
      </c>
      <c r="U174" s="13" t="s">
        <v>42</v>
      </c>
      <c r="V174" s="7" t="s">
        <v>43</v>
      </c>
      <c r="W174" s="10">
        <f>'[1]V, inciso o) (OP)'!AD75</f>
        <v>42618</v>
      </c>
      <c r="X174" s="10">
        <f>'[1]V, inciso o) (OP)'!AE75</f>
        <v>42674</v>
      </c>
      <c r="Y174" s="7" t="s">
        <v>521</v>
      </c>
      <c r="Z174" s="7" t="s">
        <v>522</v>
      </c>
      <c r="AA174" s="7" t="s">
        <v>523</v>
      </c>
      <c r="AB174" s="21" t="s">
        <v>1444</v>
      </c>
      <c r="AC174" s="6" t="s">
        <v>2438</v>
      </c>
      <c r="AD174" s="6"/>
    </row>
    <row r="175" spans="1:30" ht="69.95" customHeight="1">
      <c r="A175" s="34">
        <v>163</v>
      </c>
      <c r="B175" s="7">
        <v>2016</v>
      </c>
      <c r="C175" s="6" t="s">
        <v>62</v>
      </c>
      <c r="D175" s="6" t="str">
        <f>'[1]V, inciso o) (OP)'!C76</f>
        <v>DOPI-MUN-RM-PAV-AD-163-2016</v>
      </c>
      <c r="E175" s="10">
        <f>'[1]V, inciso o) (OP)'!V76</f>
        <v>42615</v>
      </c>
      <c r="F175" s="6" t="str">
        <f>'[1]V, inciso o) (OP)'!AA76</f>
        <v>Programa emergente de bacheo de vialidades en Zapopan Sur Poniente tramo 1, municipio de Zapopan, Jalisco.</v>
      </c>
      <c r="G175" s="6" t="s">
        <v>3308</v>
      </c>
      <c r="H175" s="39">
        <v>1001250.87</v>
      </c>
      <c r="I175" s="6" t="s">
        <v>1317</v>
      </c>
      <c r="J175" s="6" t="str">
        <f>'[1]V, inciso o) (OP)'!M76</f>
        <v>Regino</v>
      </c>
      <c r="K175" s="7" t="str">
        <f>'[1]V, inciso o) (OP)'!N76</f>
        <v>Ruiz del Campo</v>
      </c>
      <c r="L175" s="7" t="str">
        <f>'[1]V, inciso o) (OP)'!O76</f>
        <v>Medina</v>
      </c>
      <c r="M175" s="6" t="s">
        <v>3032</v>
      </c>
      <c r="N175" s="7" t="str">
        <f>'[1]V, inciso o) (OP)'!Q76</f>
        <v>RUMR771116UA8</v>
      </c>
      <c r="O175" s="11">
        <f>'[1]V, inciso o) (OP)'!Y76</f>
        <v>1001250.87</v>
      </c>
      <c r="P175" s="11">
        <v>1001250.87</v>
      </c>
      <c r="Q175" s="7" t="s">
        <v>526</v>
      </c>
      <c r="R175" s="11">
        <f>O175/5725</f>
        <v>174.89098165938864</v>
      </c>
      <c r="S175" s="7" t="s">
        <v>41</v>
      </c>
      <c r="T175" s="12">
        <v>19422</v>
      </c>
      <c r="U175" s="13" t="s">
        <v>42</v>
      </c>
      <c r="V175" s="7" t="s">
        <v>43</v>
      </c>
      <c r="W175" s="10">
        <f>'[1]V, inciso o) (OP)'!AD76</f>
        <v>42618</v>
      </c>
      <c r="X175" s="10">
        <f>'[1]V, inciso o) (OP)'!AE76</f>
        <v>42674</v>
      </c>
      <c r="Y175" s="7" t="s">
        <v>521</v>
      </c>
      <c r="Z175" s="7" t="s">
        <v>522</v>
      </c>
      <c r="AA175" s="7" t="s">
        <v>523</v>
      </c>
      <c r="AB175" s="21" t="s">
        <v>2566</v>
      </c>
      <c r="AC175" s="6" t="s">
        <v>2438</v>
      </c>
      <c r="AD175" s="6"/>
    </row>
    <row r="176" spans="1:30" ht="69.95" customHeight="1">
      <c r="A176" s="34">
        <v>164</v>
      </c>
      <c r="B176" s="7">
        <v>2016</v>
      </c>
      <c r="C176" s="6" t="s">
        <v>62</v>
      </c>
      <c r="D176" s="6" t="str">
        <f>'[1]V, inciso o) (OP)'!C77</f>
        <v>DOPI-MUN-RM-PAV-AD-164-2016</v>
      </c>
      <c r="E176" s="10">
        <f>'[1]V, inciso o) (OP)'!V77</f>
        <v>42615</v>
      </c>
      <c r="F176" s="6" t="str">
        <f>'[1]V, inciso o) (OP)'!AA77</f>
        <v>Programa emergente de bacheo de vialidades en Zapopan Sur Poniente tramo 2, municipio de Zapopan, Jalsico</v>
      </c>
      <c r="G176" s="6" t="s">
        <v>3308</v>
      </c>
      <c r="H176" s="39">
        <v>1002128.72</v>
      </c>
      <c r="I176" s="6" t="s">
        <v>1317</v>
      </c>
      <c r="J176" s="6" t="str">
        <f>'[1]V, inciso o) (OP)'!M77</f>
        <v>Carlos Ignacio</v>
      </c>
      <c r="K176" s="7" t="str">
        <f>'[1]V, inciso o) (OP)'!N77</f>
        <v>Curiel</v>
      </c>
      <c r="L176" s="7" t="str">
        <f>'[1]V, inciso o) (OP)'!O77</f>
        <v>Dueñas</v>
      </c>
      <c r="M176" s="6" t="s">
        <v>2966</v>
      </c>
      <c r="N176" s="7" t="str">
        <f>'[1]V, inciso o) (OP)'!Q77</f>
        <v>CCE130723IR7</v>
      </c>
      <c r="O176" s="11">
        <f>'[1]V, inciso o) (OP)'!Y77</f>
        <v>1002128.72</v>
      </c>
      <c r="P176" s="11">
        <v>1002059.85</v>
      </c>
      <c r="Q176" s="7" t="s">
        <v>527</v>
      </c>
      <c r="R176" s="11">
        <f>O176/5731</f>
        <v>174.86105740708427</v>
      </c>
      <c r="S176" s="7" t="s">
        <v>41</v>
      </c>
      <c r="T176" s="12">
        <v>19523</v>
      </c>
      <c r="U176" s="13" t="s">
        <v>42</v>
      </c>
      <c r="V176" s="7" t="s">
        <v>43</v>
      </c>
      <c r="W176" s="10">
        <f>'[1]V, inciso o) (OP)'!AD77</f>
        <v>42618</v>
      </c>
      <c r="X176" s="10">
        <f>'[1]V, inciso o) (OP)'!AE77</f>
        <v>42674</v>
      </c>
      <c r="Y176" s="7" t="s">
        <v>521</v>
      </c>
      <c r="Z176" s="7" t="s">
        <v>522</v>
      </c>
      <c r="AA176" s="7" t="s">
        <v>523</v>
      </c>
      <c r="AB176" s="21" t="s">
        <v>1445</v>
      </c>
      <c r="AC176" s="6" t="s">
        <v>2438</v>
      </c>
      <c r="AD176" s="6"/>
    </row>
    <row r="177" spans="1:30" ht="69.95" customHeight="1">
      <c r="A177" s="34">
        <v>165</v>
      </c>
      <c r="B177" s="7">
        <v>2016</v>
      </c>
      <c r="C177" s="6" t="s">
        <v>62</v>
      </c>
      <c r="D177" s="6" t="str">
        <f>'[1]V, inciso o) (OP)'!C78</f>
        <v>DOPI-MUN-RM-PAV-AD-165-2016</v>
      </c>
      <c r="E177" s="10">
        <f>'[1]V, inciso o) (OP)'!V78</f>
        <v>42615</v>
      </c>
      <c r="F177" s="6" t="str">
        <f>'[1]V, inciso o) (OP)'!AA78</f>
        <v>Programa emergente de bacheo de vialidades en Zapopan Poniente tramo 1, municipio de Zapopan, Jalsico</v>
      </c>
      <c r="G177" s="6" t="s">
        <v>3308</v>
      </c>
      <c r="H177" s="39">
        <v>997115.6</v>
      </c>
      <c r="I177" s="6" t="s">
        <v>1317</v>
      </c>
      <c r="J177" s="6" t="str">
        <f>'[1]V, inciso o) (OP)'!M78</f>
        <v>Antonio</v>
      </c>
      <c r="K177" s="7" t="str">
        <f>'[1]V, inciso o) (OP)'!N78</f>
        <v>Chávez</v>
      </c>
      <c r="L177" s="7" t="str">
        <f>'[1]V, inciso o) (OP)'!O78</f>
        <v>Navarro</v>
      </c>
      <c r="M177" s="6" t="s">
        <v>3033</v>
      </c>
      <c r="N177" s="7" t="str">
        <f>'[1]V, inciso o) (OP)'!Q78</f>
        <v>CIC960718BW4</v>
      </c>
      <c r="O177" s="11">
        <f>'[1]V, inciso o) (OP)'!Y78</f>
        <v>997115.6</v>
      </c>
      <c r="P177" s="11">
        <v>997114.52</v>
      </c>
      <c r="Q177" s="7" t="s">
        <v>528</v>
      </c>
      <c r="R177" s="11">
        <f>O177/5645</f>
        <v>176.6369530558016</v>
      </c>
      <c r="S177" s="7" t="s">
        <v>41</v>
      </c>
      <c r="T177" s="12">
        <v>22538</v>
      </c>
      <c r="U177" s="13" t="s">
        <v>42</v>
      </c>
      <c r="V177" s="7" t="s">
        <v>43</v>
      </c>
      <c r="W177" s="10">
        <f>'[1]V, inciso o) (OP)'!AD78</f>
        <v>42618</v>
      </c>
      <c r="X177" s="10">
        <f>'[1]V, inciso o) (OP)'!AE78</f>
        <v>42674</v>
      </c>
      <c r="Y177" s="7" t="s">
        <v>521</v>
      </c>
      <c r="Z177" s="7" t="s">
        <v>522</v>
      </c>
      <c r="AA177" s="7" t="s">
        <v>523</v>
      </c>
      <c r="AB177" s="21" t="s">
        <v>2567</v>
      </c>
      <c r="AC177" s="6" t="s">
        <v>2438</v>
      </c>
      <c r="AD177" s="6"/>
    </row>
    <row r="178" spans="1:30" ht="69.95" customHeight="1">
      <c r="A178" s="34">
        <v>166</v>
      </c>
      <c r="B178" s="7">
        <v>2016</v>
      </c>
      <c r="C178" s="6" t="s">
        <v>62</v>
      </c>
      <c r="D178" s="6" t="str">
        <f>'[1]V, inciso o) (OP)'!C79</f>
        <v>DOPI-MUN-RM-PAV-AD-166-2016</v>
      </c>
      <c r="E178" s="10">
        <f>'[1]V, inciso o) (OP)'!V79</f>
        <v>42615</v>
      </c>
      <c r="F178" s="6" t="str">
        <f>'[1]V, inciso o) (OP)'!AA79</f>
        <v>Programa emergente de bacheo de vialidades en Zapopan Poniente tramo 2, municipio de Zapopan, Jalsico</v>
      </c>
      <c r="G178" s="6" t="s">
        <v>3308</v>
      </c>
      <c r="H178" s="39">
        <v>1003154.53</v>
      </c>
      <c r="I178" s="6" t="s">
        <v>1317</v>
      </c>
      <c r="J178" s="6" t="str">
        <f>'[1]V, inciso o) (OP)'!M79</f>
        <v>Raquel</v>
      </c>
      <c r="K178" s="7" t="str">
        <f>'[1]V, inciso o) (OP)'!N79</f>
        <v>Chávez</v>
      </c>
      <c r="L178" s="7" t="str">
        <f>'[1]V, inciso o) (OP)'!O79</f>
        <v>Navarro</v>
      </c>
      <c r="M178" s="6" t="s">
        <v>3034</v>
      </c>
      <c r="N178" s="7" t="str">
        <f>'[1]V, inciso o) (OP)'!Q79</f>
        <v>ASO080408GY0</v>
      </c>
      <c r="O178" s="11">
        <f>'[1]V, inciso o) (OP)'!Y79</f>
        <v>1003154.53</v>
      </c>
      <c r="P178" s="11">
        <v>979022.32000000007</v>
      </c>
      <c r="Q178" s="7" t="s">
        <v>529</v>
      </c>
      <c r="R178" s="11">
        <f>O178/5733</f>
        <v>174.97898656898658</v>
      </c>
      <c r="S178" s="7" t="s">
        <v>41</v>
      </c>
      <c r="T178" s="12">
        <v>21065</v>
      </c>
      <c r="U178" s="13" t="s">
        <v>42</v>
      </c>
      <c r="V178" s="7" t="s">
        <v>43</v>
      </c>
      <c r="W178" s="10">
        <f>'[1]V, inciso o) (OP)'!AD79</f>
        <v>42618</v>
      </c>
      <c r="X178" s="10">
        <f>'[1]V, inciso o) (OP)'!AE79</f>
        <v>42674</v>
      </c>
      <c r="Y178" s="7" t="s">
        <v>521</v>
      </c>
      <c r="Z178" s="7" t="s">
        <v>522</v>
      </c>
      <c r="AA178" s="7" t="s">
        <v>523</v>
      </c>
      <c r="AB178" s="21" t="s">
        <v>2570</v>
      </c>
      <c r="AC178" s="6" t="s">
        <v>2438</v>
      </c>
      <c r="AD178" s="6"/>
    </row>
    <row r="179" spans="1:30" ht="69.95" customHeight="1">
      <c r="A179" s="34">
        <v>167</v>
      </c>
      <c r="B179" s="7">
        <v>2016</v>
      </c>
      <c r="C179" s="6" t="s">
        <v>62</v>
      </c>
      <c r="D179" s="6" t="str">
        <f>'[1]V, inciso o) (OP)'!C80</f>
        <v>DOPI-MUN-RM-PAV-AD-167-2016</v>
      </c>
      <c r="E179" s="10">
        <f>'[1]V, inciso o) (OP)'!V80</f>
        <v>42615</v>
      </c>
      <c r="F179" s="6" t="str">
        <f>'[1]V, inciso o) (OP)'!AA80</f>
        <v>Programa emergente de bacheo de vialidades en Zapopan Norponiente tramo 1, municipio de Zapopan, Jalisco.</v>
      </c>
      <c r="G179" s="6" t="s">
        <v>3308</v>
      </c>
      <c r="H179" s="39">
        <v>990472.15</v>
      </c>
      <c r="I179" s="6" t="s">
        <v>1317</v>
      </c>
      <c r="J179" s="6" t="str">
        <f>'[1]V, inciso o) (OP)'!M80</f>
        <v xml:space="preserve">Guillermo Emmanuel </v>
      </c>
      <c r="K179" s="7" t="str">
        <f>'[1]V, inciso o) (OP)'!N80</f>
        <v xml:space="preserve">Lara </v>
      </c>
      <c r="L179" s="7" t="str">
        <f>'[1]V, inciso o) (OP)'!O80</f>
        <v>Ochoa</v>
      </c>
      <c r="M179" s="6" t="s">
        <v>3035</v>
      </c>
      <c r="N179" s="7" t="str">
        <f>'[1]V, inciso o) (OP)'!Q80</f>
        <v>AGC070223J95</v>
      </c>
      <c r="O179" s="11">
        <f>'[1]V, inciso o) (OP)'!Y80</f>
        <v>990472.15</v>
      </c>
      <c r="P179" s="11">
        <v>990425.97</v>
      </c>
      <c r="Q179" s="7" t="s">
        <v>530</v>
      </c>
      <c r="R179" s="11">
        <f>O179/5614</f>
        <v>176.428954399715</v>
      </c>
      <c r="S179" s="7" t="s">
        <v>41</v>
      </c>
      <c r="T179" s="12">
        <v>23124</v>
      </c>
      <c r="U179" s="13" t="s">
        <v>42</v>
      </c>
      <c r="V179" s="7" t="s">
        <v>43</v>
      </c>
      <c r="W179" s="10">
        <f>'[1]V, inciso o) (OP)'!AD80</f>
        <v>42618</v>
      </c>
      <c r="X179" s="10">
        <f>'[1]V, inciso o) (OP)'!AE80</f>
        <v>42674</v>
      </c>
      <c r="Y179" s="7" t="s">
        <v>521</v>
      </c>
      <c r="Z179" s="7" t="s">
        <v>522</v>
      </c>
      <c r="AA179" s="7" t="s">
        <v>523</v>
      </c>
      <c r="AB179" s="21" t="s">
        <v>1504</v>
      </c>
      <c r="AC179" s="6" t="s">
        <v>2438</v>
      </c>
      <c r="AD179" s="6"/>
    </row>
    <row r="180" spans="1:30" ht="69.95" customHeight="1">
      <c r="A180" s="34">
        <v>168</v>
      </c>
      <c r="B180" s="7">
        <v>2016</v>
      </c>
      <c r="C180" s="6" t="s">
        <v>62</v>
      </c>
      <c r="D180" s="6" t="str">
        <f>'[1]V, inciso o) (OP)'!C81</f>
        <v>DOPI-MUN-RM-PAV-AD-168-2016</v>
      </c>
      <c r="E180" s="10">
        <f>'[1]V, inciso o) (OP)'!V81</f>
        <v>42615</v>
      </c>
      <c r="F180" s="6" t="str">
        <f>'[1]V, inciso o) (OP)'!AA81</f>
        <v>Programa emergente de bacheo de vialidades en Zapopan Norponiente tramo 2, municipio de Zapopan, Jalsico</v>
      </c>
      <c r="G180" s="6" t="s">
        <v>3308</v>
      </c>
      <c r="H180" s="39">
        <v>988477.86</v>
      </c>
      <c r="I180" s="6" t="s">
        <v>1317</v>
      </c>
      <c r="J180" s="6" t="str">
        <f>'[1]V, inciso o) (OP)'!M81</f>
        <v>Aurora Lucia</v>
      </c>
      <c r="K180" s="7" t="str">
        <f>'[1]V, inciso o) (OP)'!N81</f>
        <v xml:space="preserve">Brenez </v>
      </c>
      <c r="L180" s="7" t="str">
        <f>'[1]V, inciso o) (OP)'!O81</f>
        <v>Garnica</v>
      </c>
      <c r="M180" s="6" t="s">
        <v>3009</v>
      </c>
      <c r="N180" s="7" t="str">
        <f>'[1]V, inciso o) (OP)'!Q81</f>
        <v>KUC070424344</v>
      </c>
      <c r="O180" s="11">
        <f>'[1]V, inciso o) (OP)'!Y81</f>
        <v>988477.86</v>
      </c>
      <c r="P180" s="11">
        <v>987447.91999999993</v>
      </c>
      <c r="Q180" s="7" t="s">
        <v>531</v>
      </c>
      <c r="R180" s="11">
        <f>O180/5591</f>
        <v>176.79804328384904</v>
      </c>
      <c r="S180" s="7" t="s">
        <v>41</v>
      </c>
      <c r="T180" s="12">
        <v>22365</v>
      </c>
      <c r="U180" s="13" t="s">
        <v>42</v>
      </c>
      <c r="V180" s="7" t="s">
        <v>43</v>
      </c>
      <c r="W180" s="10">
        <f>'[1]V, inciso o) (OP)'!AD81</f>
        <v>42618</v>
      </c>
      <c r="X180" s="10">
        <f>'[1]V, inciso o) (OP)'!AE81</f>
        <v>42674</v>
      </c>
      <c r="Y180" s="7" t="s">
        <v>521</v>
      </c>
      <c r="Z180" s="7" t="s">
        <v>522</v>
      </c>
      <c r="AA180" s="7" t="s">
        <v>523</v>
      </c>
      <c r="AB180" s="21" t="s">
        <v>1446</v>
      </c>
      <c r="AC180" s="6" t="s">
        <v>2438</v>
      </c>
      <c r="AD180" s="6"/>
    </row>
    <row r="181" spans="1:30" ht="69.95" customHeight="1">
      <c r="A181" s="34">
        <v>169</v>
      </c>
      <c r="B181" s="7">
        <v>2016</v>
      </c>
      <c r="C181" s="6" t="s">
        <v>62</v>
      </c>
      <c r="D181" s="6" t="str">
        <f>'[1]V, inciso o) (OP)'!C82</f>
        <v>DOPI-MUN-RM-PAV-AD-169-2016</v>
      </c>
      <c r="E181" s="10">
        <f>'[1]V, inciso o) (OP)'!V82</f>
        <v>42615</v>
      </c>
      <c r="F181" s="6" t="str">
        <f>'[1]V, inciso o) (OP)'!AA82</f>
        <v>Programa emergente de bacheo de vialidades en Zapopan Norte tramo 1, municipio de Zapopan, Jalsico</v>
      </c>
      <c r="G181" s="6" t="s">
        <v>3308</v>
      </c>
      <c r="H181" s="39">
        <v>996236.89</v>
      </c>
      <c r="I181" s="6" t="s">
        <v>1317</v>
      </c>
      <c r="J181" s="6" t="str">
        <f>'[1]V, inciso o) (OP)'!M82</f>
        <v>Carlos Felipe</v>
      </c>
      <c r="K181" s="7" t="str">
        <f>'[1]V, inciso o) (OP)'!N82</f>
        <v>Vázquez</v>
      </c>
      <c r="L181" s="7" t="str">
        <f>'[1]V, inciso o) (OP)'!O82</f>
        <v>Guerra</v>
      </c>
      <c r="M181" s="6" t="s">
        <v>218</v>
      </c>
      <c r="N181" s="7" t="str">
        <f>'[1]V, inciso o) (OP)'!Q82</f>
        <v>UVG841211G22</v>
      </c>
      <c r="O181" s="11">
        <f>'[1]V, inciso o) (OP)'!Y82</f>
        <v>996236.89</v>
      </c>
      <c r="P181" s="11">
        <v>996236.87999999989</v>
      </c>
      <c r="Q181" s="7" t="s">
        <v>532</v>
      </c>
      <c r="R181" s="11">
        <f>O181/5608</f>
        <v>177.64566512125535</v>
      </c>
      <c r="S181" s="7" t="s">
        <v>41</v>
      </c>
      <c r="T181" s="12">
        <v>20165</v>
      </c>
      <c r="U181" s="13" t="s">
        <v>42</v>
      </c>
      <c r="V181" s="7" t="s">
        <v>43</v>
      </c>
      <c r="W181" s="10">
        <f>'[1]V, inciso o) (OP)'!AD82</f>
        <v>42618</v>
      </c>
      <c r="X181" s="10">
        <f>'[1]V, inciso o) (OP)'!AE82</f>
        <v>42674</v>
      </c>
      <c r="Y181" s="7" t="s">
        <v>521</v>
      </c>
      <c r="Z181" s="7" t="s">
        <v>522</v>
      </c>
      <c r="AA181" s="7" t="s">
        <v>523</v>
      </c>
      <c r="AB181" s="21" t="s">
        <v>1505</v>
      </c>
      <c r="AC181" s="6" t="s">
        <v>2438</v>
      </c>
      <c r="AD181" s="6"/>
    </row>
    <row r="182" spans="1:30" ht="69.95" customHeight="1">
      <c r="A182" s="34">
        <v>170</v>
      </c>
      <c r="B182" s="7">
        <v>2016</v>
      </c>
      <c r="C182" s="6" t="s">
        <v>62</v>
      </c>
      <c r="D182" s="6" t="str">
        <f>'[1]V, inciso o) (OP)'!C83</f>
        <v>DOPI-MUN-RM-ELE-AD-170-2016</v>
      </c>
      <c r="E182" s="10">
        <f>'[1]V, inciso o) (OP)'!V83</f>
        <v>42636</v>
      </c>
      <c r="F182" s="6" t="str">
        <f>'[1]V, inciso o) (OP)'!AA83</f>
        <v>Trabajos complementarios de infraestructura eléctrica y de alumbrado público, frente 1, municipio de Zapopan, Jalisco</v>
      </c>
      <c r="G182" s="6" t="s">
        <v>3308</v>
      </c>
      <c r="H182" s="39">
        <v>1492750.23</v>
      </c>
      <c r="I182" s="6" t="s">
        <v>1317</v>
      </c>
      <c r="J182" s="6" t="str">
        <f>'[1]V, inciso o) (OP)'!M83</f>
        <v>Pia Lorena</v>
      </c>
      <c r="K182" s="7" t="str">
        <f>'[1]V, inciso o) (OP)'!N83</f>
        <v>Buenrostro</v>
      </c>
      <c r="L182" s="7" t="str">
        <f>'[1]V, inciso o) (OP)'!O83</f>
        <v>Ahued</v>
      </c>
      <c r="M182" s="6" t="s">
        <v>3036</v>
      </c>
      <c r="N182" s="7" t="str">
        <f>'[1]V, inciso o) (OP)'!Q83</f>
        <v>BCO070129512</v>
      </c>
      <c r="O182" s="11">
        <f>'[1]V, inciso o) (OP)'!Y83</f>
        <v>1492750.23</v>
      </c>
      <c r="P182" s="11">
        <v>1121636.83</v>
      </c>
      <c r="Q182" s="7" t="s">
        <v>533</v>
      </c>
      <c r="R182" s="11">
        <f>O182/584</f>
        <v>2556.0791609589041</v>
      </c>
      <c r="S182" s="7" t="s">
        <v>41</v>
      </c>
      <c r="T182" s="12">
        <v>18652</v>
      </c>
      <c r="U182" s="13" t="s">
        <v>42</v>
      </c>
      <c r="V182" s="43" t="s">
        <v>43</v>
      </c>
      <c r="W182" s="10">
        <f>'[1]V, inciso o) (OP)'!AD83</f>
        <v>42639</v>
      </c>
      <c r="X182" s="10">
        <f>'[1]V, inciso o) (OP)'!AE83</f>
        <v>42719</v>
      </c>
      <c r="Y182" s="7" t="s">
        <v>402</v>
      </c>
      <c r="Z182" s="7" t="s">
        <v>296</v>
      </c>
      <c r="AA182" s="7" t="s">
        <v>508</v>
      </c>
      <c r="AB182" s="21" t="s">
        <v>1447</v>
      </c>
      <c r="AC182" s="6" t="s">
        <v>2438</v>
      </c>
      <c r="AD182" s="6"/>
    </row>
    <row r="183" spans="1:30" ht="69.95" customHeight="1">
      <c r="A183" s="34">
        <v>171</v>
      </c>
      <c r="B183" s="7">
        <v>2016</v>
      </c>
      <c r="C183" s="6" t="s">
        <v>62</v>
      </c>
      <c r="D183" s="6" t="str">
        <f>'[1]V, inciso o) (OP)'!C84</f>
        <v>DOPI-MUN-RM-PAV-AD-171-2016</v>
      </c>
      <c r="E183" s="10">
        <f>'[1]V, inciso o) (OP)'!V84</f>
        <v>42622</v>
      </c>
      <c r="F183" s="6" t="str">
        <f>'[1]V, inciso o) (OP)'!AA84</f>
        <v>Pavimentación con adoquín y empedrado tradicional con material producto de recuperación en diferentes vialidades en el Municipio de Zapopan, Jalisco</v>
      </c>
      <c r="G183" s="6" t="s">
        <v>3308</v>
      </c>
      <c r="H183" s="39">
        <v>1480115.18</v>
      </c>
      <c r="I183" s="6" t="s">
        <v>1317</v>
      </c>
      <c r="J183" s="6" t="str">
        <f>'[1]V, inciso o) (OP)'!M84</f>
        <v>Omar</v>
      </c>
      <c r="K183" s="7" t="str">
        <f>'[1]V, inciso o) (OP)'!N84</f>
        <v>Mora</v>
      </c>
      <c r="L183" s="7" t="str">
        <f>'[1]V, inciso o) (OP)'!O84</f>
        <v>Montes de Oca</v>
      </c>
      <c r="M183" s="6" t="s">
        <v>3000</v>
      </c>
      <c r="N183" s="7" t="str">
        <f>'[1]V, inciso o) (OP)'!Q84</f>
        <v>DCO130215C16</v>
      </c>
      <c r="O183" s="11">
        <f>'[1]V, inciso o) (OP)'!Y84</f>
        <v>1480115.18</v>
      </c>
      <c r="P183" s="11">
        <v>1468209.45</v>
      </c>
      <c r="Q183" s="7" t="s">
        <v>534</v>
      </c>
      <c r="R183" s="11">
        <f>O183/3100</f>
        <v>477.45650967741932</v>
      </c>
      <c r="S183" s="7" t="s">
        <v>41</v>
      </c>
      <c r="T183" s="12">
        <v>16845</v>
      </c>
      <c r="U183" s="13" t="s">
        <v>42</v>
      </c>
      <c r="V183" s="7" t="s">
        <v>43</v>
      </c>
      <c r="W183" s="10">
        <f>'[1]V, inciso o) (OP)'!AD84</f>
        <v>42624</v>
      </c>
      <c r="X183" s="10">
        <f>'[1]V, inciso o) (OP)'!AE84</f>
        <v>42689</v>
      </c>
      <c r="Y183" s="7" t="s">
        <v>431</v>
      </c>
      <c r="Z183" s="7" t="s">
        <v>181</v>
      </c>
      <c r="AA183" s="7" t="s">
        <v>89</v>
      </c>
      <c r="AB183" s="21" t="s">
        <v>1392</v>
      </c>
      <c r="AC183" s="6" t="s">
        <v>2438</v>
      </c>
      <c r="AD183" s="6"/>
    </row>
    <row r="184" spans="1:30" ht="69.95" customHeight="1">
      <c r="A184" s="34">
        <v>172</v>
      </c>
      <c r="B184" s="7">
        <v>2016</v>
      </c>
      <c r="C184" s="6" t="s">
        <v>62</v>
      </c>
      <c r="D184" s="6" t="str">
        <f>'[1]V, inciso o) (OP)'!C85</f>
        <v>DOPI-MUN-RM-SIS-AD-172-2016</v>
      </c>
      <c r="E184" s="10">
        <f>'[1]V, inciso o) (OP)'!V85</f>
        <v>42622</v>
      </c>
      <c r="F184" s="6" t="str">
        <f>'[1]V, inciso o) (OP)'!AA85</f>
        <v>Programación e implementación de sistema informático para la programación, contratación, control y seguimiento de ejecución de obra, elaboración de estimaciones y padrón de contratistas del Municipio de Zapopan, Jalisco</v>
      </c>
      <c r="G184" s="6" t="s">
        <v>63</v>
      </c>
      <c r="H184" s="39">
        <v>435640.37</v>
      </c>
      <c r="I184" s="6" t="s">
        <v>120</v>
      </c>
      <c r="J184" s="6" t="str">
        <f>'[1]V, inciso o) (OP)'!M85</f>
        <v>Víctor Martín</v>
      </c>
      <c r="K184" s="7" t="str">
        <f>'[1]V, inciso o) (OP)'!N85</f>
        <v>López</v>
      </c>
      <c r="L184" s="7" t="str">
        <f>'[1]V, inciso o) (OP)'!O85</f>
        <v>Santos</v>
      </c>
      <c r="M184" s="6" t="s">
        <v>3037</v>
      </c>
      <c r="N184" s="7" t="str">
        <f>'[1]V, inciso o) (OP)'!Q85</f>
        <v>DVI0903301U3</v>
      </c>
      <c r="O184" s="11">
        <f>'[1]V, inciso o) (OP)'!Y85</f>
        <v>435640.37</v>
      </c>
      <c r="P184" s="11">
        <v>435640.36</v>
      </c>
      <c r="Q184" s="7" t="s">
        <v>535</v>
      </c>
      <c r="R184" s="11">
        <f>O184</f>
        <v>435640.37</v>
      </c>
      <c r="S184" s="7" t="s">
        <v>41</v>
      </c>
      <c r="T184" s="12">
        <v>685</v>
      </c>
      <c r="U184" s="13" t="s">
        <v>42</v>
      </c>
      <c r="V184" s="7" t="s">
        <v>43</v>
      </c>
      <c r="W184" s="10">
        <f>'[1]V, inciso o) (OP)'!AD85</f>
        <v>42624</v>
      </c>
      <c r="X184" s="10">
        <f>'[1]V, inciso o) (OP)'!AE85</f>
        <v>42689</v>
      </c>
      <c r="Y184" s="7" t="s">
        <v>536</v>
      </c>
      <c r="Z184" s="7" t="s">
        <v>537</v>
      </c>
      <c r="AA184" s="7" t="s">
        <v>538</v>
      </c>
      <c r="AB184" s="21" t="s">
        <v>2915</v>
      </c>
      <c r="AC184" s="6" t="s">
        <v>2438</v>
      </c>
      <c r="AD184" s="6"/>
    </row>
    <row r="185" spans="1:30" ht="69.95" customHeight="1">
      <c r="A185" s="34">
        <v>173</v>
      </c>
      <c r="B185" s="7">
        <v>2016</v>
      </c>
      <c r="C185" s="6" t="str">
        <f>'[1]V, inciso p) (OP)'!B107</f>
        <v>Licitación Pública</v>
      </c>
      <c r="D185" s="6" t="str">
        <f>'[1]V, inciso p) (OP)'!D107</f>
        <v>DOPI-MUN-RM-IM-LP-173-2016</v>
      </c>
      <c r="E185" s="10">
        <f>'[1]V, inciso p) (OP)'!AD107</f>
        <v>42726</v>
      </c>
      <c r="F185" s="6" t="str">
        <f>'[1]V, inciso p) (OP)'!I107</f>
        <v>Rehabilitación de la instalación eléctrica, iluminación y alumbrado público en el mercado municipal de Atemajac, municipio de Zapopan, Jalisco.</v>
      </c>
      <c r="G185" s="6" t="s">
        <v>3308</v>
      </c>
      <c r="H185" s="39">
        <v>8929443.7100000009</v>
      </c>
      <c r="I185" s="6" t="str">
        <f>'[1]V, inciso p) (OP)'!AS107</f>
        <v>Atemajac</v>
      </c>
      <c r="J185" s="6" t="str">
        <f>'[1]V, inciso p) (OP)'!T107</f>
        <v>Amalia</v>
      </c>
      <c r="K185" s="7" t="str">
        <f>'[1]V, inciso p) (OP)'!U107</f>
        <v>Moreno</v>
      </c>
      <c r="L185" s="7" t="str">
        <f>'[1]V, inciso p) (OP)'!V107</f>
        <v>Maldonado</v>
      </c>
      <c r="M185" s="6" t="s">
        <v>3038</v>
      </c>
      <c r="N185" s="7" t="str">
        <f>'[1]V, inciso p) (OP)'!X107</f>
        <v>GCM020226F28</v>
      </c>
      <c r="O185" s="11">
        <f>'[1]V, inciso p) (OP)'!AG107</f>
        <v>8929443.7100000009</v>
      </c>
      <c r="P185" s="11">
        <v>8922013.4700000007</v>
      </c>
      <c r="Q185" s="7" t="s">
        <v>539</v>
      </c>
      <c r="R185" s="11">
        <f>O185/9461.16</f>
        <v>943.8000953371469</v>
      </c>
      <c r="S185" s="7" t="s">
        <v>41</v>
      </c>
      <c r="T185" s="12">
        <v>12833</v>
      </c>
      <c r="U185" s="13" t="s">
        <v>42</v>
      </c>
      <c r="V185" s="43" t="s">
        <v>43</v>
      </c>
      <c r="W185" s="10">
        <f>'[1]V, inciso p) (OP)'!AM107</f>
        <v>42727</v>
      </c>
      <c r="X185" s="10">
        <f>'[1]V, inciso p) (OP)'!AN107</f>
        <v>42816</v>
      </c>
      <c r="Y185" s="7" t="s">
        <v>402</v>
      </c>
      <c r="Z185" s="7" t="s">
        <v>296</v>
      </c>
      <c r="AA185" s="7" t="s">
        <v>508</v>
      </c>
      <c r="AB185" s="21" t="s">
        <v>2824</v>
      </c>
      <c r="AC185" s="6" t="s">
        <v>2438</v>
      </c>
      <c r="AD185" s="6"/>
    </row>
    <row r="186" spans="1:30" ht="69.95" customHeight="1">
      <c r="A186" s="34">
        <v>174</v>
      </c>
      <c r="B186" s="7">
        <v>2016</v>
      </c>
      <c r="C186" s="6" t="str">
        <f>'[1]V, inciso p) (OP)'!B108</f>
        <v>Licitación Pública</v>
      </c>
      <c r="D186" s="6" t="str">
        <f>'[1]V, inciso p) (OP)'!D108</f>
        <v>DOPI-MUN-RM-IM-LP-174-2016</v>
      </c>
      <c r="E186" s="10">
        <f>'[1]V, inciso p) (OP)'!AD108</f>
        <v>42726</v>
      </c>
      <c r="F186" s="6" t="str">
        <f>'[1]V, inciso p) (OP)'!I108</f>
        <v>Rehabilitación de la red hidrosanitaria, instalación de la red contra incendio, obra civil, elevador y acabados en el mercado municipal de Atemajac, municipio de Zapopan , Jalisco.</v>
      </c>
      <c r="G186" s="6" t="s">
        <v>3308</v>
      </c>
      <c r="H186" s="39">
        <v>10276943.060000001</v>
      </c>
      <c r="I186" s="6" t="str">
        <f>'[1]V, inciso p) (OP)'!AS108</f>
        <v>Atemajac</v>
      </c>
      <c r="J186" s="6" t="str">
        <f>'[1]V, inciso p) (OP)'!T108</f>
        <v xml:space="preserve">Leobardo </v>
      </c>
      <c r="K186" s="7" t="str">
        <f>'[1]V, inciso p) (OP)'!U108</f>
        <v>Preciado</v>
      </c>
      <c r="L186" s="7" t="str">
        <f>'[1]V, inciso p) (OP)'!V108</f>
        <v>Zepeda</v>
      </c>
      <c r="M186" s="6" t="s">
        <v>3039</v>
      </c>
      <c r="N186" s="7" t="str">
        <f>'[1]V, inciso p) (OP)'!X108</f>
        <v>CCA971126QC9</v>
      </c>
      <c r="O186" s="11">
        <f>'[1]V, inciso p) (OP)'!AG108</f>
        <v>10276943.060000001</v>
      </c>
      <c r="P186" s="11">
        <v>10276943.02</v>
      </c>
      <c r="Q186" s="7" t="s">
        <v>540</v>
      </c>
      <c r="R186" s="11">
        <f>O186/9461.16</f>
        <v>1086.2244227980502</v>
      </c>
      <c r="S186" s="7" t="s">
        <v>41</v>
      </c>
      <c r="T186" s="12">
        <v>12833</v>
      </c>
      <c r="U186" s="13" t="s">
        <v>42</v>
      </c>
      <c r="V186" s="43" t="s">
        <v>43</v>
      </c>
      <c r="W186" s="10">
        <f>'[1]V, inciso p) (OP)'!AM108</f>
        <v>42727</v>
      </c>
      <c r="X186" s="10">
        <f>'[1]V, inciso p) (OP)'!AN108</f>
        <v>42816</v>
      </c>
      <c r="Y186" s="7" t="s">
        <v>484</v>
      </c>
      <c r="Z186" s="7" t="s">
        <v>485</v>
      </c>
      <c r="AA186" s="7" t="s">
        <v>94</v>
      </c>
      <c r="AB186" s="21" t="s">
        <v>2825</v>
      </c>
      <c r="AC186" s="6" t="s">
        <v>2438</v>
      </c>
      <c r="AD186" s="6"/>
    </row>
    <row r="187" spans="1:30" ht="69.95" customHeight="1">
      <c r="A187" s="34">
        <v>175</v>
      </c>
      <c r="B187" s="7">
        <v>2016</v>
      </c>
      <c r="C187" s="6" t="str">
        <f>'[1]V, inciso p) (OP)'!B109</f>
        <v>Licitación Pública</v>
      </c>
      <c r="D187" s="6" t="str">
        <f>'[1]V, inciso p) (OP)'!D109</f>
        <v>DOPI-MUN-RM-DP-LP-175-2016</v>
      </c>
      <c r="E187" s="10">
        <f>'[1]V, inciso p) (OP)'!AD109</f>
        <v>42726</v>
      </c>
      <c r="F187" s="6" t="str">
        <f>'[1]V, inciso p) (OP)'!I109</f>
        <v>Sustitución de rejillas de bocas de tormenta en diferentes vialidades del municipio.</v>
      </c>
      <c r="G187" s="6" t="s">
        <v>3308</v>
      </c>
      <c r="H187" s="39">
        <v>2998448.3</v>
      </c>
      <c r="I187" s="6" t="s">
        <v>1024</v>
      </c>
      <c r="J187" s="6" t="str">
        <f>'[1]V, inciso p) (OP)'!T109</f>
        <v>José Omar</v>
      </c>
      <c r="K187" s="7" t="str">
        <f>'[1]V, inciso p) (OP)'!U109</f>
        <v>Fernández</v>
      </c>
      <c r="L187" s="7" t="str">
        <f>'[1]V, inciso p) (OP)'!V109</f>
        <v>Vázquez</v>
      </c>
      <c r="M187" s="6" t="s">
        <v>3040</v>
      </c>
      <c r="N187" s="7" t="str">
        <f>'[1]V, inciso p) (OP)'!X109</f>
        <v>FEVO740619686</v>
      </c>
      <c r="O187" s="11">
        <f>'[1]V, inciso p) (OP)'!AG109</f>
        <v>2998448.3</v>
      </c>
      <c r="P187" s="11">
        <v>2655157.6</v>
      </c>
      <c r="Q187" s="7" t="s">
        <v>541</v>
      </c>
      <c r="R187" s="11">
        <f>O187/254</f>
        <v>11804.914566929134</v>
      </c>
      <c r="S187" s="7" t="s">
        <v>41</v>
      </c>
      <c r="T187" s="12">
        <v>122366</v>
      </c>
      <c r="U187" s="13" t="s">
        <v>42</v>
      </c>
      <c r="V187" s="7" t="s">
        <v>43</v>
      </c>
      <c r="W187" s="10">
        <f>'[1]V, inciso p) (OP)'!AM109</f>
        <v>42727</v>
      </c>
      <c r="X187" s="10">
        <f>'[1]V, inciso p) (OP)'!AN109</f>
        <v>42846</v>
      </c>
      <c r="Y187" s="7" t="s">
        <v>542</v>
      </c>
      <c r="Z187" s="7" t="s">
        <v>543</v>
      </c>
      <c r="AA187" s="7" t="s">
        <v>144</v>
      </c>
      <c r="AB187" s="21" t="s">
        <v>2826</v>
      </c>
      <c r="AC187" s="6" t="s">
        <v>2438</v>
      </c>
      <c r="AD187" s="6"/>
    </row>
    <row r="188" spans="1:30" ht="69.95" customHeight="1">
      <c r="A188" s="34">
        <v>176</v>
      </c>
      <c r="B188" s="7">
        <v>2016</v>
      </c>
      <c r="C188" s="6" t="str">
        <f>'[1]V, inciso p) (OP)'!B110</f>
        <v>Licitación Pública</v>
      </c>
      <c r="D188" s="6" t="str">
        <f>'[1]V, inciso p) (OP)'!D110</f>
        <v>DOPI-MUN-RM-ID-LP-176-2016</v>
      </c>
      <c r="E188" s="10">
        <f>'[1]V, inciso p) (OP)'!AD110</f>
        <v>42726</v>
      </c>
      <c r="F188" s="6" t="str">
        <f>'[1]V, inciso p) (OP)'!I110</f>
        <v>Rehabilitación de las instalaciones y equipamiento deportivo de la Unidad Deportiva Miramar, municipio de Zapopan, Jalisco</v>
      </c>
      <c r="G188" s="6" t="s">
        <v>3308</v>
      </c>
      <c r="H188" s="39">
        <v>7420078.3799999999</v>
      </c>
      <c r="I188" s="6" t="str">
        <f>'[1]V, inciso p) (OP)'!AS110</f>
        <v>Colonia Miramar</v>
      </c>
      <c r="J188" s="6" t="str">
        <f>'[1]V, inciso p) (OP)'!T110</f>
        <v>José Antonio</v>
      </c>
      <c r="K188" s="7" t="str">
        <f>'[1]V, inciso p) (OP)'!U110</f>
        <v>Álvarez</v>
      </c>
      <c r="L188" s="7" t="str">
        <f>'[1]V, inciso p) (OP)'!V110</f>
        <v>Garcia</v>
      </c>
      <c r="M188" s="6" t="s">
        <v>320</v>
      </c>
      <c r="N188" s="7" t="str">
        <f>'[1]V, inciso p) (OP)'!X110</f>
        <v>UMN160125869</v>
      </c>
      <c r="O188" s="11">
        <f>'[1]V, inciso p) (OP)'!AG110</f>
        <v>7420078.3799999999</v>
      </c>
      <c r="P188" s="11">
        <v>7384177.5</v>
      </c>
      <c r="Q188" s="7" t="s">
        <v>544</v>
      </c>
      <c r="R188" s="11">
        <f>O188/13099.16</f>
        <v>566.45451922107986</v>
      </c>
      <c r="S188" s="7" t="s">
        <v>41</v>
      </c>
      <c r="T188" s="12">
        <v>3881</v>
      </c>
      <c r="U188" s="13" t="s">
        <v>42</v>
      </c>
      <c r="V188" s="7" t="s">
        <v>43</v>
      </c>
      <c r="W188" s="10">
        <f>'[1]V, inciso p) (OP)'!AM110</f>
        <v>42727</v>
      </c>
      <c r="X188" s="10">
        <f>'[1]V, inciso p) (OP)'!AN110</f>
        <v>42816</v>
      </c>
      <c r="Y188" s="7" t="s">
        <v>429</v>
      </c>
      <c r="Z188" s="7" t="s">
        <v>290</v>
      </c>
      <c r="AA188" s="7" t="s">
        <v>73</v>
      </c>
      <c r="AB188" s="21" t="s">
        <v>2787</v>
      </c>
      <c r="AC188" s="6" t="s">
        <v>2438</v>
      </c>
      <c r="AD188" s="6"/>
    </row>
    <row r="189" spans="1:30" ht="69.95" customHeight="1">
      <c r="A189" s="34">
        <v>177</v>
      </c>
      <c r="B189" s="7">
        <v>2016</v>
      </c>
      <c r="C189" s="6" t="str">
        <f>'[1]V, inciso p) (OP)'!B111</f>
        <v>Licitación Pública</v>
      </c>
      <c r="D189" s="6" t="str">
        <f>'[1]V, inciso p) (OP)'!D111</f>
        <v>DOPI-MUN-RM-ID-LP-177-2016</v>
      </c>
      <c r="E189" s="10">
        <f>'[1]V, inciso p) (OP)'!AD111</f>
        <v>42726</v>
      </c>
      <c r="F189" s="6" t="str">
        <f>'[1]V, inciso p) (OP)'!I111</f>
        <v>Rehabilitación de las Instalaciones y equipamiento deportivo de la Unidad Deportiva Paseos del Briseño, municipio de Zapopan, Jalisco</v>
      </c>
      <c r="G189" s="6" t="s">
        <v>3308</v>
      </c>
      <c r="H189" s="39">
        <v>8768312.9199999999</v>
      </c>
      <c r="I189" s="6" t="str">
        <f>'[1]V, inciso p) (OP)'!AS111</f>
        <v>Colonia Paseos del Briseño</v>
      </c>
      <c r="J189" s="6" t="str">
        <f>'[1]V, inciso p) (OP)'!T111</f>
        <v>Francisco Javier</v>
      </c>
      <c r="K189" s="7" t="str">
        <f>'[1]V, inciso p) (OP)'!U111</f>
        <v>Diaz</v>
      </c>
      <c r="L189" s="7" t="str">
        <f>'[1]V, inciso p) (OP)'!V111</f>
        <v>Ruiz</v>
      </c>
      <c r="M189" s="6" t="s">
        <v>177</v>
      </c>
      <c r="N189" s="7" t="str">
        <f>'[1]V, inciso p) (OP)'!X111</f>
        <v>CDI950714B79</v>
      </c>
      <c r="O189" s="11">
        <f>'[1]V, inciso p) (OP)'!AG111</f>
        <v>8768312.9199999999</v>
      </c>
      <c r="P189" s="11">
        <v>8768312.5800000001</v>
      </c>
      <c r="Q189" s="18">
        <v>16194.34</v>
      </c>
      <c r="R189" s="11">
        <f>O189/16194.34</f>
        <v>541.44305479568789</v>
      </c>
      <c r="S189" s="7" t="s">
        <v>41</v>
      </c>
      <c r="T189" s="12">
        <v>2896</v>
      </c>
      <c r="U189" s="13" t="s">
        <v>42</v>
      </c>
      <c r="V189" s="7" t="s">
        <v>43</v>
      </c>
      <c r="W189" s="10">
        <f>'[1]V, inciso p) (OP)'!AM111</f>
        <v>42727</v>
      </c>
      <c r="X189" s="10">
        <f>'[1]V, inciso p) (OP)'!AN111</f>
        <v>42816</v>
      </c>
      <c r="Y189" s="7" t="s">
        <v>462</v>
      </c>
      <c r="Z189" s="7" t="s">
        <v>310</v>
      </c>
      <c r="AA189" s="7" t="s">
        <v>130</v>
      </c>
      <c r="AB189" s="21" t="s">
        <v>2788</v>
      </c>
      <c r="AC189" s="6" t="s">
        <v>2438</v>
      </c>
      <c r="AD189" s="6"/>
    </row>
    <row r="190" spans="1:30" ht="69.95" customHeight="1">
      <c r="A190" s="34">
        <v>178</v>
      </c>
      <c r="B190" s="7">
        <v>2016</v>
      </c>
      <c r="C190" s="6" t="str">
        <f>'[1]V, inciso p) (OP)'!B112</f>
        <v>Licitación Pública</v>
      </c>
      <c r="D190" s="6" t="str">
        <f>'[1]V, inciso p) (OP)'!D112</f>
        <v>DOPI-MUN-RM-ID-LP-178-2016</v>
      </c>
      <c r="E190" s="10">
        <f>'[1]V, inciso p) (OP)'!AD112</f>
        <v>42726</v>
      </c>
      <c r="F190" s="6" t="str">
        <f>'[1]V, inciso p) (OP)'!I112</f>
        <v>Rehabilitación de las Instalaciones y equipamiento deportivo de la Unidad Deportiva San Juan de Ocotán, municipio de Zapopan, Jalisco</v>
      </c>
      <c r="G190" s="6" t="s">
        <v>3308</v>
      </c>
      <c r="H190" s="38">
        <f>7913055.8+2321202.61</f>
        <v>10234258.41</v>
      </c>
      <c r="I190" s="6" t="str">
        <f>'[1]V, inciso p) (OP)'!AS112</f>
        <v>Colonia San Juan de Ocotán</v>
      </c>
      <c r="J190" s="6" t="str">
        <f>'[1]V, inciso p) (OP)'!T112</f>
        <v>Eduardo</v>
      </c>
      <c r="K190" s="7" t="str">
        <f>'[1]V, inciso p) (OP)'!U112</f>
        <v>Romero</v>
      </c>
      <c r="L190" s="7" t="str">
        <f>'[1]V, inciso p) (OP)'!V112</f>
        <v>Lugo</v>
      </c>
      <c r="M190" s="6" t="s">
        <v>3041</v>
      </c>
      <c r="N190" s="7" t="str">
        <f>'[1]V, inciso p) (OP)'!X112</f>
        <v>ROS120904PV9</v>
      </c>
      <c r="O190" s="11">
        <f>'[1]V, inciso p) (OP)'!AG112</f>
        <v>7913055.7999999998</v>
      </c>
      <c r="P190" s="11">
        <v>10234237.609999999</v>
      </c>
      <c r="Q190" s="7" t="s">
        <v>545</v>
      </c>
      <c r="R190" s="11">
        <f>O190/8180.41</f>
        <v>967.31775057729385</v>
      </c>
      <c r="S190" s="7" t="s">
        <v>41</v>
      </c>
      <c r="T190" s="12">
        <v>12652</v>
      </c>
      <c r="U190" s="13" t="s">
        <v>42</v>
      </c>
      <c r="V190" s="7" t="s">
        <v>43</v>
      </c>
      <c r="W190" s="10">
        <f>'[1]V, inciso p) (OP)'!AM112</f>
        <v>42727</v>
      </c>
      <c r="X190" s="10">
        <f>'[1]V, inciso p) (OP)'!AN112</f>
        <v>42794</v>
      </c>
      <c r="Y190" s="7" t="s">
        <v>446</v>
      </c>
      <c r="Z190" s="7" t="s">
        <v>447</v>
      </c>
      <c r="AA190" s="7" t="s">
        <v>448</v>
      </c>
      <c r="AB190" s="21" t="s">
        <v>2827</v>
      </c>
      <c r="AC190" s="6" t="s">
        <v>2438</v>
      </c>
      <c r="AD190" s="6"/>
    </row>
    <row r="191" spans="1:30" ht="69.95" customHeight="1">
      <c r="A191" s="34">
        <v>179</v>
      </c>
      <c r="B191" s="7">
        <v>2016</v>
      </c>
      <c r="C191" s="6" t="str">
        <f>'[1]V, inciso p) (OP)'!B113</f>
        <v>Licitación Pública</v>
      </c>
      <c r="D191" s="6" t="str">
        <f>'[1]V, inciso p) (OP)'!D113</f>
        <v>DOPI-MUN-RM-MOV-LP-179-2016</v>
      </c>
      <c r="E191" s="10">
        <f>'[1]V, inciso p) (OP)'!AD113</f>
        <v>42726</v>
      </c>
      <c r="F191" s="6" t="str">
        <f>'[1]V, inciso p) (OP)'!I113</f>
        <v>Construcción de cruceros seguros, incluye señaletica horizontal y vertical, acceso universal en esquinas,semaforización y paradas de autobús en diferentes cruceros, zona 1 del Municipio de Zapopan, Jallisco</v>
      </c>
      <c r="G191" s="6" t="s">
        <v>63</v>
      </c>
      <c r="H191" s="39">
        <v>3582511.3</v>
      </c>
      <c r="I191" s="20" t="s">
        <v>2533</v>
      </c>
      <c r="J191" s="6" t="str">
        <f>'[1]V, inciso p) (OP)'!T113</f>
        <v>José Omar</v>
      </c>
      <c r="K191" s="7" t="str">
        <f>'[1]V, inciso p) (OP)'!U113</f>
        <v>Fernández</v>
      </c>
      <c r="L191" s="7" t="str">
        <f>'[1]V, inciso p) (OP)'!V113</f>
        <v>Vázquez</v>
      </c>
      <c r="M191" s="6" t="s">
        <v>3040</v>
      </c>
      <c r="N191" s="7" t="str">
        <f>'[1]V, inciso p) (OP)'!X113</f>
        <v>FEVO740619686</v>
      </c>
      <c r="O191" s="11">
        <f>'[1]V, inciso p) (OP)'!AG113</f>
        <v>3582511.3</v>
      </c>
      <c r="P191" s="11">
        <v>3223239.99</v>
      </c>
      <c r="Q191" s="7" t="s">
        <v>546</v>
      </c>
      <c r="R191" s="11">
        <f>O191/1718</f>
        <v>2085.2801513387658</v>
      </c>
      <c r="S191" s="7" t="s">
        <v>41</v>
      </c>
      <c r="T191" s="12">
        <v>220690</v>
      </c>
      <c r="U191" s="13" t="s">
        <v>42</v>
      </c>
      <c r="V191" s="7" t="s">
        <v>43</v>
      </c>
      <c r="W191" s="10">
        <f>'[1]V, inciso p) (OP)'!AM113</f>
        <v>42727</v>
      </c>
      <c r="X191" s="10">
        <f>'[1]V, inciso p) (OP)'!AN113</f>
        <v>42846</v>
      </c>
      <c r="Y191" s="7" t="s">
        <v>542</v>
      </c>
      <c r="Z191" s="7" t="s">
        <v>543</v>
      </c>
      <c r="AA191" s="7" t="s">
        <v>144</v>
      </c>
      <c r="AB191" s="21" t="s">
        <v>2828</v>
      </c>
      <c r="AC191" s="6" t="s">
        <v>2438</v>
      </c>
      <c r="AD191" s="6"/>
    </row>
    <row r="192" spans="1:30" ht="69.95" customHeight="1">
      <c r="A192" s="34">
        <v>180</v>
      </c>
      <c r="B192" s="7">
        <v>2016</v>
      </c>
      <c r="C192" s="6" t="str">
        <f>'[1]V, inciso p) (OP)'!B114</f>
        <v>Licitación Pública</v>
      </c>
      <c r="D192" s="6" t="str">
        <f>'[1]V, inciso p) (OP)'!D114</f>
        <v>DOPI-MUN-RM-MOV-LP-180-2016</v>
      </c>
      <c r="E192" s="10">
        <f>'[1]V, inciso p) (OP)'!AD114</f>
        <v>42726</v>
      </c>
      <c r="F192" s="6" t="str">
        <f>'[1]V, inciso p) (OP)'!I114</f>
        <v>Construcción de cruceros seguros, incluye señaletica horizontal y vertical, acceso universal en esquinas,semaforización y paradas de autobús en diferentes cruceros, zona 2 del Municipio de Zapopan, Jallisco</v>
      </c>
      <c r="G192" s="6" t="s">
        <v>63</v>
      </c>
      <c r="H192" s="39">
        <v>4703307.2300000004</v>
      </c>
      <c r="I192" s="6" t="s">
        <v>981</v>
      </c>
      <c r="J192" s="6" t="str">
        <f>'[1]V, inciso p) (OP)'!T114</f>
        <v>José Jaime</v>
      </c>
      <c r="K192" s="7" t="str">
        <f>'[1]V, inciso p) (OP)'!U114</f>
        <v>Camarena</v>
      </c>
      <c r="L192" s="7" t="str">
        <f>'[1]V, inciso p) (OP)'!V114</f>
        <v>Correa</v>
      </c>
      <c r="M192" s="6" t="s">
        <v>3042</v>
      </c>
      <c r="N192" s="7" t="str">
        <f>'[1]V, inciso p) (OP)'!X114</f>
        <v>FCO110711N24</v>
      </c>
      <c r="O192" s="11">
        <f>'[1]V, inciso p) (OP)'!AG114</f>
        <v>4703307.2300000004</v>
      </c>
      <c r="P192" s="11">
        <v>4606639.96</v>
      </c>
      <c r="Q192" s="7" t="s">
        <v>547</v>
      </c>
      <c r="R192" s="11">
        <f>O192/2265.23</f>
        <v>2076.3044944663457</v>
      </c>
      <c r="S192" s="7" t="s">
        <v>41</v>
      </c>
      <c r="T192" s="12">
        <v>284788</v>
      </c>
      <c r="U192" s="13" t="s">
        <v>42</v>
      </c>
      <c r="V192" s="43" t="s">
        <v>43</v>
      </c>
      <c r="W192" s="10">
        <f>'[1]V, inciso p) (OP)'!AM114</f>
        <v>42727</v>
      </c>
      <c r="X192" s="10">
        <f>'[1]V, inciso p) (OP)'!AN114</f>
        <v>42846</v>
      </c>
      <c r="Y192" s="7" t="s">
        <v>542</v>
      </c>
      <c r="Z192" s="7" t="s">
        <v>543</v>
      </c>
      <c r="AA192" s="7" t="s">
        <v>144</v>
      </c>
      <c r="AB192" s="21" t="s">
        <v>2829</v>
      </c>
      <c r="AC192" s="6" t="s">
        <v>2438</v>
      </c>
      <c r="AD192" s="6"/>
    </row>
    <row r="193" spans="1:30" ht="69.95" customHeight="1">
      <c r="A193" s="34">
        <v>181</v>
      </c>
      <c r="B193" s="7">
        <v>2016</v>
      </c>
      <c r="C193" s="6" t="s">
        <v>62</v>
      </c>
      <c r="D193" s="6" t="str">
        <f>'[1]V, inciso o) (OP)'!C86</f>
        <v>DOPI-MUN-RM-PAV-AD-181-2016</v>
      </c>
      <c r="E193" s="10">
        <f>'[1]V, inciso o) (OP)'!V86</f>
        <v>42653</v>
      </c>
      <c r="F193" s="6" t="str">
        <f>'[1]V, inciso o) (OP)'!AA86</f>
        <v>Programa emergente de bacheo de vialidades en Zapopan Norte tramo 2, municipio de Zapopan, Jalisco.</v>
      </c>
      <c r="G193" s="6" t="s">
        <v>3308</v>
      </c>
      <c r="H193" s="39">
        <v>1494945.36</v>
      </c>
      <c r="I193" s="6" t="s">
        <v>1317</v>
      </c>
      <c r="J193" s="6" t="str">
        <f>'[1]V, inciso o) (OP)'!M86</f>
        <v>RAFAEL AUGUSTO</v>
      </c>
      <c r="K193" s="7" t="str">
        <f>'[1]V, inciso o) (OP)'!N86</f>
        <v>CABALLERO</v>
      </c>
      <c r="L193" s="7" t="str">
        <f>'[1]V, inciso o) (OP)'!O86</f>
        <v>QUIRARTE</v>
      </c>
      <c r="M193" s="6" t="s">
        <v>3043</v>
      </c>
      <c r="N193" s="7" t="str">
        <f>'[1]V, inciso o) (OP)'!Q86</f>
        <v>PAT110331HH0</v>
      </c>
      <c r="O193" s="11">
        <f>'[1]V, inciso o) (OP)'!Y86</f>
        <v>1494945.36</v>
      </c>
      <c r="P193" s="11">
        <v>1494945.08</v>
      </c>
      <c r="Q193" s="7" t="s">
        <v>548</v>
      </c>
      <c r="R193" s="11">
        <f>O193/249</f>
        <v>6003.7966265060249</v>
      </c>
      <c r="S193" s="7" t="s">
        <v>41</v>
      </c>
      <c r="T193" s="12">
        <v>156300</v>
      </c>
      <c r="U193" s="13" t="s">
        <v>42</v>
      </c>
      <c r="V193" s="7" t="s">
        <v>43</v>
      </c>
      <c r="W193" s="10">
        <f>'[1]V, inciso o) (OP)'!AD86</f>
        <v>42654</v>
      </c>
      <c r="X193" s="10">
        <f>'[1]V, inciso o) (OP)'!AE86</f>
        <v>42710</v>
      </c>
      <c r="Y193" s="7" t="s">
        <v>521</v>
      </c>
      <c r="Z193" s="7" t="s">
        <v>522</v>
      </c>
      <c r="AA193" s="7" t="s">
        <v>523</v>
      </c>
      <c r="AB193" s="21" t="s">
        <v>1393</v>
      </c>
      <c r="AC193" s="6" t="s">
        <v>2438</v>
      </c>
      <c r="AD193" s="6"/>
    </row>
    <row r="194" spans="1:30" ht="69.95" customHeight="1">
      <c r="A194" s="34">
        <v>182</v>
      </c>
      <c r="B194" s="7">
        <v>2016</v>
      </c>
      <c r="C194" s="6" t="s">
        <v>62</v>
      </c>
      <c r="D194" s="6" t="str">
        <f>'[1]V, inciso o) (OP)'!C87</f>
        <v>DOPI-MUN-RM-PAV-AD-182-2016</v>
      </c>
      <c r="E194" s="10">
        <f>'[1]V, inciso o) (OP)'!V87</f>
        <v>42650</v>
      </c>
      <c r="F194" s="6" t="str">
        <f>'[1]V, inciso o) (OP)'!AA87</f>
        <v>Rehabilitación de machuelos de concreto hidráulico en la Av. Juan Gil Preciado, tramo 1, municipio de Zapopan, Jalisco.</v>
      </c>
      <c r="G194" s="6" t="s">
        <v>3308</v>
      </c>
      <c r="H194" s="39">
        <v>1498832.34</v>
      </c>
      <c r="I194" s="6" t="s">
        <v>1317</v>
      </c>
      <c r="J194" s="6" t="str">
        <f>'[1]V, inciso o) (OP)'!M87</f>
        <v>ENRIQUE</v>
      </c>
      <c r="K194" s="7" t="str">
        <f>'[1]V, inciso o) (OP)'!N87</f>
        <v>LUGO</v>
      </c>
      <c r="L194" s="7" t="str">
        <f>'[1]V, inciso o) (OP)'!O87</f>
        <v>IBARRA</v>
      </c>
      <c r="M194" s="6" t="s">
        <v>3044</v>
      </c>
      <c r="N194" s="7" t="str">
        <f>'[1]V, inciso o) (OP)'!Q87</f>
        <v>LIC0208141P8</v>
      </c>
      <c r="O194" s="11">
        <f>'[1]V, inciso o) (OP)'!Y87</f>
        <v>1498832.34</v>
      </c>
      <c r="P194" s="11">
        <v>1498786.93</v>
      </c>
      <c r="Q194" s="7" t="s">
        <v>549</v>
      </c>
      <c r="R194" s="11">
        <f>O194/4153</f>
        <v>360.90352516253313</v>
      </c>
      <c r="S194" s="7" t="s">
        <v>41</v>
      </c>
      <c r="T194" s="12">
        <v>121200</v>
      </c>
      <c r="U194" s="13" t="s">
        <v>42</v>
      </c>
      <c r="V194" s="7" t="s">
        <v>43</v>
      </c>
      <c r="W194" s="10">
        <f>'[1]V, inciso o) (OP)'!AD87</f>
        <v>42653</v>
      </c>
      <c r="X194" s="10">
        <f>'[1]V, inciso o) (OP)'!AE87</f>
        <v>42712</v>
      </c>
      <c r="Y194" s="7" t="s">
        <v>375</v>
      </c>
      <c r="Z194" s="7" t="s">
        <v>252</v>
      </c>
      <c r="AA194" s="7" t="s">
        <v>253</v>
      </c>
      <c r="AB194" s="21" t="s">
        <v>1394</v>
      </c>
      <c r="AC194" s="6" t="s">
        <v>2438</v>
      </c>
      <c r="AD194" s="6"/>
    </row>
    <row r="195" spans="1:30" ht="69.95" customHeight="1">
      <c r="A195" s="34">
        <v>183</v>
      </c>
      <c r="B195" s="7">
        <v>2016</v>
      </c>
      <c r="C195" s="6" t="s">
        <v>62</v>
      </c>
      <c r="D195" s="6" t="str">
        <f>'[1]V, inciso o) (OP)'!C88</f>
        <v>DOPI-MUN-RM-PAV-AD-183-2016</v>
      </c>
      <c r="E195" s="10">
        <f>'[1]V, inciso o) (OP)'!V88</f>
        <v>42650</v>
      </c>
      <c r="F195" s="6" t="str">
        <f>'[1]V, inciso o) (OP)'!AA88</f>
        <v>Rehabilitación de machuelos de concreto hidráulico en la Av. Juan Gil Preciado, tramo 2, municipio de Zapopan, Jalisco.</v>
      </c>
      <c r="G195" s="6" t="s">
        <v>3308</v>
      </c>
      <c r="H195" s="39">
        <v>1492150.48</v>
      </c>
      <c r="I195" s="6" t="s">
        <v>1317</v>
      </c>
      <c r="J195" s="6" t="str">
        <f>'[1]V, inciso o) (OP)'!M88</f>
        <v>ARTURO</v>
      </c>
      <c r="K195" s="7" t="str">
        <f>'[1]V, inciso o) (OP)'!N88</f>
        <v>SARMIENTO</v>
      </c>
      <c r="L195" s="7" t="str">
        <f>'[1]V, inciso o) (OP)'!O88</f>
        <v>SANCHEZ</v>
      </c>
      <c r="M195" s="6" t="s">
        <v>2068</v>
      </c>
      <c r="N195" s="7" t="str">
        <f>'[1]V, inciso o) (OP)'!Q88</f>
        <v>CON020208696</v>
      </c>
      <c r="O195" s="11">
        <f>'[1]V, inciso o) (OP)'!Y88</f>
        <v>1492150.48</v>
      </c>
      <c r="P195" s="11">
        <v>1492126.81</v>
      </c>
      <c r="Q195" s="7" t="s">
        <v>549</v>
      </c>
      <c r="R195" s="11">
        <f>O195/4153</f>
        <v>359.29460149289667</v>
      </c>
      <c r="S195" s="7" t="s">
        <v>41</v>
      </c>
      <c r="T195" s="12">
        <v>121200</v>
      </c>
      <c r="U195" s="13" t="s">
        <v>42</v>
      </c>
      <c r="V195" s="7" t="s">
        <v>43</v>
      </c>
      <c r="W195" s="10">
        <f>'[1]V, inciso o) (OP)'!AD88</f>
        <v>42653</v>
      </c>
      <c r="X195" s="10">
        <f>'[1]V, inciso o) (OP)'!AE88</f>
        <v>42712</v>
      </c>
      <c r="Y195" s="7" t="s">
        <v>375</v>
      </c>
      <c r="Z195" s="7" t="s">
        <v>252</v>
      </c>
      <c r="AA195" s="7" t="s">
        <v>253</v>
      </c>
      <c r="AB195" s="21" t="s">
        <v>2830</v>
      </c>
      <c r="AC195" s="6" t="s">
        <v>2438</v>
      </c>
      <c r="AD195" s="6"/>
    </row>
    <row r="196" spans="1:30" ht="69.95" customHeight="1">
      <c r="A196" s="34">
        <v>184</v>
      </c>
      <c r="B196" s="7">
        <v>2016</v>
      </c>
      <c r="C196" s="6" t="s">
        <v>62</v>
      </c>
      <c r="D196" s="6" t="str">
        <f>'[1]V, inciso o) (OP)'!C89</f>
        <v>DOPI-MUN-RM-DP-AD-184-2016</v>
      </c>
      <c r="E196" s="10">
        <f>'[1]V, inciso o) (OP)'!V89</f>
        <v>42653</v>
      </c>
      <c r="F196" s="6" t="str">
        <f>'[1]V, inciso o) (OP)'!AA89</f>
        <v>Construcción de colector pluvial en el camino al Arenero, municipio de Zapopan, Jalisco.</v>
      </c>
      <c r="G196" s="6" t="s">
        <v>3308</v>
      </c>
      <c r="H196" s="39">
        <v>1478083.67</v>
      </c>
      <c r="I196" s="6" t="s">
        <v>550</v>
      </c>
      <c r="J196" s="6" t="str">
        <f>'[1]V, inciso o) (OP)'!M89</f>
        <v xml:space="preserve">EDUARDO </v>
      </c>
      <c r="K196" s="7" t="str">
        <f>'[1]V, inciso o) (OP)'!N89</f>
        <v>ROMERO</v>
      </c>
      <c r="L196" s="7" t="str">
        <f>'[1]V, inciso o) (OP)'!O89</f>
        <v>LUGO</v>
      </c>
      <c r="M196" s="6" t="s">
        <v>1824</v>
      </c>
      <c r="N196" s="7" t="str">
        <f>'[1]V, inciso o) (OP)'!Q89</f>
        <v>ROS120904PV9</v>
      </c>
      <c r="O196" s="11">
        <f>'[1]V, inciso o) (OP)'!Y89</f>
        <v>1478083.67</v>
      </c>
      <c r="P196" s="11">
        <v>1413104.22</v>
      </c>
      <c r="Q196" s="7" t="s">
        <v>551</v>
      </c>
      <c r="R196" s="11">
        <f>O196/231</f>
        <v>6398.6306060606057</v>
      </c>
      <c r="S196" s="7" t="s">
        <v>41</v>
      </c>
      <c r="T196" s="12">
        <v>1850</v>
      </c>
      <c r="U196" s="13" t="s">
        <v>42</v>
      </c>
      <c r="V196" s="7" t="s">
        <v>43</v>
      </c>
      <c r="W196" s="10">
        <f>'[1]V, inciso o) (OP)'!AD89</f>
        <v>42654</v>
      </c>
      <c r="X196" s="10">
        <f>'[1]V, inciso o) (OP)'!AE89</f>
        <v>42678</v>
      </c>
      <c r="Y196" s="7" t="s">
        <v>552</v>
      </c>
      <c r="Z196" s="7" t="s">
        <v>67</v>
      </c>
      <c r="AA196" s="7" t="s">
        <v>68</v>
      </c>
      <c r="AB196" s="21" t="s">
        <v>2831</v>
      </c>
      <c r="AC196" s="6" t="s">
        <v>2438</v>
      </c>
      <c r="AD196" s="6"/>
    </row>
    <row r="197" spans="1:30" ht="69.95" customHeight="1">
      <c r="A197" s="34">
        <v>185</v>
      </c>
      <c r="B197" s="7">
        <v>2016</v>
      </c>
      <c r="C197" s="6" t="s">
        <v>62</v>
      </c>
      <c r="D197" s="6" t="str">
        <f>'[1]V, inciso o) (OP)'!C90</f>
        <v>DOPI-MUN-RM-PROY-AD-185-2016</v>
      </c>
      <c r="E197" s="10">
        <f>'[1]V, inciso o) (OP)'!V90</f>
        <v>42653</v>
      </c>
      <c r="F197" s="6" t="str">
        <f>'[1]V, inciso o) (OP)'!AA90</f>
        <v>Proyecto ejecutivo de la renovación y ampliación del Museo de Arte de Zapopan, ubicado en el Andador 20 de Noviembre y la calle 28 de Enero, en la cabecera municipal, de Zapopan, Jalisco.</v>
      </c>
      <c r="G197" s="6" t="s">
        <v>3308</v>
      </c>
      <c r="H197" s="39">
        <v>986034.8</v>
      </c>
      <c r="I197" s="6" t="s">
        <v>117</v>
      </c>
      <c r="J197" s="6" t="str">
        <f>'[1]V, inciso o) (OP)'!M90</f>
        <v>ENRIQUE FRANCISCO</v>
      </c>
      <c r="K197" s="7" t="str">
        <f>'[1]V, inciso o) (OP)'!N90</f>
        <v>TOUSSAINT</v>
      </c>
      <c r="L197" s="7" t="str">
        <f>'[1]V, inciso o) (OP)'!O90</f>
        <v>OCHOA</v>
      </c>
      <c r="M197" s="6" t="s">
        <v>3045</v>
      </c>
      <c r="N197" s="7" t="str">
        <f>'[1]V, inciso o) (OP)'!Q90</f>
        <v>GAT920520R72</v>
      </c>
      <c r="O197" s="11">
        <f>'[1]V, inciso o) (OP)'!Y90</f>
        <v>986034.8</v>
      </c>
      <c r="P197" s="11">
        <v>986034.8</v>
      </c>
      <c r="Q197" s="7" t="s">
        <v>499</v>
      </c>
      <c r="R197" s="11">
        <f>O197</f>
        <v>986034.8</v>
      </c>
      <c r="S197" s="7" t="s">
        <v>121</v>
      </c>
      <c r="T197" s="12" t="s">
        <v>121</v>
      </c>
      <c r="U197" s="13" t="s">
        <v>42</v>
      </c>
      <c r="V197" s="7" t="s">
        <v>43</v>
      </c>
      <c r="W197" s="10">
        <f>'[1]V, inciso o) (OP)'!AD90</f>
        <v>42654</v>
      </c>
      <c r="X197" s="10">
        <f>'[1]V, inciso o) (OP)'!AE90</f>
        <v>42750</v>
      </c>
      <c r="Y197" s="7" t="s">
        <v>401</v>
      </c>
      <c r="Z197" s="7" t="s">
        <v>310</v>
      </c>
      <c r="AA197" s="7" t="s">
        <v>311</v>
      </c>
      <c r="AB197" s="21" t="s">
        <v>1395</v>
      </c>
      <c r="AC197" s="6" t="s">
        <v>2438</v>
      </c>
      <c r="AD197" s="6"/>
    </row>
    <row r="198" spans="1:30" ht="69.95" customHeight="1">
      <c r="A198" s="34">
        <v>186</v>
      </c>
      <c r="B198" s="7">
        <v>2016</v>
      </c>
      <c r="C198" s="6" t="s">
        <v>62</v>
      </c>
      <c r="D198" s="6" t="str">
        <f>'[1]V, inciso o) (OP)'!C91</f>
        <v>DOPI-MUN-RM-DP-AD-186-2016</v>
      </c>
      <c r="E198" s="10">
        <f>'[1]V, inciso o) (OP)'!V91</f>
        <v>42653</v>
      </c>
      <c r="F198" s="6" t="str">
        <f>'[1]V, inciso o) (OP)'!AA91</f>
        <v>Solución Pluvial en Tesistán (colector pluvial de 36" y bocas de tormenta) en la calle Jalisco, Hidalgo, Puebla, en la localidad de Tesistán, municipio de Zapopan, Jalisco. Frente 1.</v>
      </c>
      <c r="G198" s="6" t="s">
        <v>3308</v>
      </c>
      <c r="H198" s="39">
        <v>1479766.1</v>
      </c>
      <c r="I198" s="6" t="s">
        <v>553</v>
      </c>
      <c r="J198" s="6" t="str">
        <f>'[1]V, inciso o) (OP)'!M91</f>
        <v>JAVIER</v>
      </c>
      <c r="K198" s="7" t="str">
        <f>'[1]V, inciso o) (OP)'!N91</f>
        <v xml:space="preserve">ÁVILA </v>
      </c>
      <c r="L198" s="7" t="str">
        <f>'[1]V, inciso o) (OP)'!O91</f>
        <v>FLORES</v>
      </c>
      <c r="M198" s="6" t="s">
        <v>2100</v>
      </c>
      <c r="N198" s="7" t="str">
        <f>'[1]V, inciso o) (OP)'!Q91</f>
        <v>SCC060622HZ3</v>
      </c>
      <c r="O198" s="11">
        <f>'[1]V, inciso o) (OP)'!Y91</f>
        <v>1479766.1</v>
      </c>
      <c r="P198" s="11">
        <v>1473936.66</v>
      </c>
      <c r="Q198" s="7" t="s">
        <v>554</v>
      </c>
      <c r="R198" s="11">
        <f>O198/222</f>
        <v>6665.6130630630632</v>
      </c>
      <c r="S198" s="7" t="s">
        <v>41</v>
      </c>
      <c r="T198" s="12">
        <v>2460</v>
      </c>
      <c r="U198" s="13" t="s">
        <v>42</v>
      </c>
      <c r="V198" s="7" t="s">
        <v>43</v>
      </c>
      <c r="W198" s="10">
        <f>'[1]V, inciso o) (OP)'!AD91</f>
        <v>42654</v>
      </c>
      <c r="X198" s="10">
        <f>'[1]V, inciso o) (OP)'!AE91</f>
        <v>42704</v>
      </c>
      <c r="Y198" s="7" t="s">
        <v>331</v>
      </c>
      <c r="Z198" s="7" t="s">
        <v>332</v>
      </c>
      <c r="AA198" s="7" t="s">
        <v>116</v>
      </c>
      <c r="AB198" s="21" t="s">
        <v>2832</v>
      </c>
      <c r="AC198" s="6" t="s">
        <v>2438</v>
      </c>
      <c r="AD198" s="6"/>
    </row>
    <row r="199" spans="1:30" ht="69.95" customHeight="1">
      <c r="A199" s="34">
        <v>187</v>
      </c>
      <c r="B199" s="7">
        <v>2016</v>
      </c>
      <c r="C199" s="6" t="s">
        <v>62</v>
      </c>
      <c r="D199" s="6" t="str">
        <f>'[1]V, inciso o) (OP)'!C92</f>
        <v>DOPI-MUN-RM-IE-AD-187-2016</v>
      </c>
      <c r="E199" s="10">
        <f>'[1]V, inciso o) (OP)'!V92</f>
        <v>42664</v>
      </c>
      <c r="F199" s="6" t="str">
        <f>'[1]V, inciso o) (OP)'!AA92</f>
        <v>Suministro y colocación de estructuras de protección de rayos ultravioleta y sustitución de losas de concreto en el plantel educativo Gustavo Diaz Ordaz, clave 14EPR1473U, colonia Gustavo Diaz Ordaz, Municipio de Zapopan, Jalisco.</v>
      </c>
      <c r="G199" s="6" t="s">
        <v>3308</v>
      </c>
      <c r="H199" s="39">
        <v>998756.32</v>
      </c>
      <c r="I199" s="6" t="s">
        <v>555</v>
      </c>
      <c r="J199" s="6" t="str">
        <f>'[1]V, inciso o) (OP)'!M92</f>
        <v>AARON</v>
      </c>
      <c r="K199" s="7" t="str">
        <f>'[1]V, inciso o) (OP)'!N92</f>
        <v>AMARAL</v>
      </c>
      <c r="L199" s="7" t="str">
        <f>'[1]V, inciso o) (OP)'!O92</f>
        <v>LOPEZ</v>
      </c>
      <c r="M199" s="6" t="s">
        <v>3046</v>
      </c>
      <c r="N199" s="7" t="str">
        <f>'[1]V, inciso o) (OP)'!Q92</f>
        <v>GCC1102098R8</v>
      </c>
      <c r="O199" s="11">
        <f>'[1]V, inciso o) (OP)'!Y92</f>
        <v>998756.32</v>
      </c>
      <c r="P199" s="11">
        <v>960346.67999999993</v>
      </c>
      <c r="Q199" s="7" t="s">
        <v>556</v>
      </c>
      <c r="R199" s="11">
        <f>O199/684</f>
        <v>1460.1700584795321</v>
      </c>
      <c r="S199" s="7" t="s">
        <v>41</v>
      </c>
      <c r="T199" s="12">
        <v>1140</v>
      </c>
      <c r="U199" s="13" t="s">
        <v>42</v>
      </c>
      <c r="V199" s="7" t="s">
        <v>43</v>
      </c>
      <c r="W199" s="10">
        <f>'[1]V, inciso o) (OP)'!AD92</f>
        <v>42667</v>
      </c>
      <c r="X199" s="10">
        <f>'[1]V, inciso o) (OP)'!AE92</f>
        <v>42726</v>
      </c>
      <c r="Y199" s="7" t="s">
        <v>429</v>
      </c>
      <c r="Z199" s="7" t="s">
        <v>72</v>
      </c>
      <c r="AA199" s="7" t="s">
        <v>557</v>
      </c>
      <c r="AB199" s="21" t="s">
        <v>1396</v>
      </c>
      <c r="AC199" s="6" t="s">
        <v>2438</v>
      </c>
      <c r="AD199" s="6"/>
    </row>
    <row r="200" spans="1:30" ht="69.95" customHeight="1">
      <c r="A200" s="34">
        <v>188</v>
      </c>
      <c r="B200" s="7">
        <v>2016</v>
      </c>
      <c r="C200" s="6" t="s">
        <v>31</v>
      </c>
      <c r="D200" s="6" t="str">
        <f>'[1]V, inciso p) (OP)'!D115</f>
        <v>DOPI-FED-R23-IM-LP-188-2016</v>
      </c>
      <c r="E200" s="10">
        <f>'[1]V, inciso p) (OP)'!AD115</f>
        <v>42704</v>
      </c>
      <c r="F200" s="6" t="str">
        <f>'[1]V, inciso p) (OP)'!AL115</f>
        <v>Construcción de la primera etapa del centro comunitario, Centro de Emprendimiento, en Miramar, frente 1.</v>
      </c>
      <c r="G200" s="6" t="s">
        <v>3309</v>
      </c>
      <c r="H200" s="39">
        <v>19907341.52</v>
      </c>
      <c r="I200" s="6" t="str">
        <f>'[1]V, inciso p) (OP)'!AS115</f>
        <v>Colonia Miramar</v>
      </c>
      <c r="J200" s="6" t="str">
        <f>'[1]V, inciso p) (OP)'!T115</f>
        <v>Luis German</v>
      </c>
      <c r="K200" s="7" t="str">
        <f>'[1]V, inciso p) (OP)'!U115</f>
        <v xml:space="preserve">Delgadillo </v>
      </c>
      <c r="L200" s="7" t="str">
        <f>'[1]V, inciso p) (OP)'!V115</f>
        <v>Alcazar</v>
      </c>
      <c r="M200" s="6" t="s">
        <v>2979</v>
      </c>
      <c r="N200" s="7" t="str">
        <f>'[1]V, inciso p) (OP)'!X115</f>
        <v>APE111122MI0</v>
      </c>
      <c r="O200" s="11">
        <f t="shared" ref="O200:O222" si="6">H200</f>
        <v>19907341.52</v>
      </c>
      <c r="P200" s="11">
        <v>19907337.029999997</v>
      </c>
      <c r="Q200" s="7" t="s">
        <v>558</v>
      </c>
      <c r="R200" s="11">
        <f>O200/1601</f>
        <v>12434.317001873829</v>
      </c>
      <c r="S200" s="7" t="s">
        <v>41</v>
      </c>
      <c r="T200" s="12">
        <v>4790</v>
      </c>
      <c r="U200" s="13" t="s">
        <v>42</v>
      </c>
      <c r="V200" s="7" t="s">
        <v>43</v>
      </c>
      <c r="W200" s="10">
        <f>'[1]V, inciso p) (OP)'!AM115</f>
        <v>42705</v>
      </c>
      <c r="X200" s="10">
        <f>'[1]V, inciso p) (OP)'!AN115</f>
        <v>42735</v>
      </c>
      <c r="Y200" s="7" t="s">
        <v>429</v>
      </c>
      <c r="Z200" s="7" t="s">
        <v>72</v>
      </c>
      <c r="AA200" s="7" t="s">
        <v>557</v>
      </c>
      <c r="AB200" s="21" t="s">
        <v>3283</v>
      </c>
      <c r="AC200" s="6" t="s">
        <v>2438</v>
      </c>
      <c r="AD200" s="6"/>
    </row>
    <row r="201" spans="1:30" ht="69.95" customHeight="1">
      <c r="A201" s="34">
        <v>189</v>
      </c>
      <c r="B201" s="7">
        <v>2016</v>
      </c>
      <c r="C201" s="6" t="s">
        <v>31</v>
      </c>
      <c r="D201" s="6" t="str">
        <f>'[1]V, inciso p) (OP)'!D116</f>
        <v>DOPI-FED-R23-IM-LP-189-2016</v>
      </c>
      <c r="E201" s="10">
        <f>'[1]V, inciso p) (OP)'!AD116</f>
        <v>42704</v>
      </c>
      <c r="F201" s="6" t="str">
        <f>'[1]V, inciso p) (OP)'!AL116</f>
        <v>Construcción de la primera etapa del centro comunitario, Centro de Emprendimiento, en Miramar, frente 2.</v>
      </c>
      <c r="G201" s="6" t="s">
        <v>3309</v>
      </c>
      <c r="H201" s="39">
        <v>4817658.4800000004</v>
      </c>
      <c r="I201" s="6" t="str">
        <f>'[1]V, inciso p) (OP)'!AS116</f>
        <v>Colonia Miramar</v>
      </c>
      <c r="J201" s="6" t="str">
        <f>'[1]V, inciso p) (OP)'!T116</f>
        <v>Gustavo Alejandro</v>
      </c>
      <c r="K201" s="7" t="str">
        <f>'[1]V, inciso p) (OP)'!U116</f>
        <v>Ledezma</v>
      </c>
      <c r="L201" s="7" t="str">
        <f>'[1]V, inciso p) (OP)'!V116</f>
        <v xml:space="preserve"> Cervantes</v>
      </c>
      <c r="M201" s="6" t="s">
        <v>3047</v>
      </c>
      <c r="N201" s="7" t="str">
        <f>'[1]V, inciso p) (OP)'!X116</f>
        <v>EPR131016I71</v>
      </c>
      <c r="O201" s="11">
        <f t="shared" si="6"/>
        <v>4817658.4800000004</v>
      </c>
      <c r="P201" s="11">
        <v>4817658.46</v>
      </c>
      <c r="Q201" s="7" t="s">
        <v>559</v>
      </c>
      <c r="R201" s="11">
        <f>O201/4215</f>
        <v>1142.9794733096087</v>
      </c>
      <c r="S201" s="7" t="s">
        <v>41</v>
      </c>
      <c r="T201" s="12">
        <v>4790</v>
      </c>
      <c r="U201" s="13" t="s">
        <v>42</v>
      </c>
      <c r="V201" s="43" t="s">
        <v>43</v>
      </c>
      <c r="W201" s="10">
        <f>'[1]V, inciso p) (OP)'!AM116</f>
        <v>42705</v>
      </c>
      <c r="X201" s="10">
        <f>'[1]V, inciso p) (OP)'!AN116</f>
        <v>42735</v>
      </c>
      <c r="Y201" s="7" t="s">
        <v>429</v>
      </c>
      <c r="Z201" s="7" t="s">
        <v>72</v>
      </c>
      <c r="AA201" s="7" t="s">
        <v>557</v>
      </c>
      <c r="AB201" s="21" t="s">
        <v>3295</v>
      </c>
      <c r="AC201" s="21" t="s">
        <v>3299</v>
      </c>
      <c r="AD201" s="6"/>
    </row>
    <row r="202" spans="1:30" ht="69.95" customHeight="1">
      <c r="A202" s="34">
        <v>190</v>
      </c>
      <c r="B202" s="7">
        <v>2016</v>
      </c>
      <c r="C202" s="6" t="s">
        <v>31</v>
      </c>
      <c r="D202" s="6" t="str">
        <f>'[1]V, inciso p) (OP)'!D117</f>
        <v>DOPI-FED-PR-PAV-LP-190-2016</v>
      </c>
      <c r="E202" s="10">
        <f>'[1]V, inciso p) (OP)'!AD117</f>
        <v>42704</v>
      </c>
      <c r="F202" s="32" t="str">
        <f>'[1]V, inciso p) (OP)'!AL117</f>
        <v>Pavimentación con concreto hidráulico de la Calle Rizo Ayala, incluye: red de agua potable y alcantarillado, alumbrado público y guarniciones, banquetas, renivelación de pozos y cajas, señalamiento horizontal y vertical, municipio de Zapopan, Jalisco.</v>
      </c>
      <c r="G202" s="6" t="s">
        <v>3311</v>
      </c>
      <c r="H202" s="39">
        <v>3519253.62</v>
      </c>
      <c r="I202" s="6" t="str">
        <f>'[1]V, inciso p) (OP)'!AS117</f>
        <v>Colonia La Martinica</v>
      </c>
      <c r="J202" s="6" t="str">
        <f>'[1]V, inciso p) (OP)'!T117</f>
        <v>Blanca Estela</v>
      </c>
      <c r="K202" s="7" t="str">
        <f>'[1]V, inciso p) (OP)'!U117</f>
        <v>Moreno</v>
      </c>
      <c r="L202" s="7" t="str">
        <f>'[1]V, inciso p) (OP)'!V117</f>
        <v>Lemus</v>
      </c>
      <c r="M202" s="6" t="s">
        <v>227</v>
      </c>
      <c r="N202" s="7" t="str">
        <f>'[1]V, inciso p) (OP)'!X117</f>
        <v>EPC7107236R1</v>
      </c>
      <c r="O202" s="11">
        <f t="shared" si="6"/>
        <v>3519253.62</v>
      </c>
      <c r="P202" s="11">
        <v>3237129.89</v>
      </c>
      <c r="Q202" s="7" t="s">
        <v>560</v>
      </c>
      <c r="R202" s="11">
        <f>O202/1440</f>
        <v>2443.926125</v>
      </c>
      <c r="S202" s="7" t="s">
        <v>41</v>
      </c>
      <c r="T202" s="12">
        <v>1840</v>
      </c>
      <c r="U202" s="13" t="s">
        <v>42</v>
      </c>
      <c r="V202" s="43" t="s">
        <v>43</v>
      </c>
      <c r="W202" s="10">
        <f>'[1]V, inciso p) (OP)'!AM117</f>
        <v>42705</v>
      </c>
      <c r="X202" s="10">
        <f>'[1]V, inciso p) (OP)'!AN117</f>
        <v>42735</v>
      </c>
      <c r="Y202" s="7" t="s">
        <v>542</v>
      </c>
      <c r="Z202" s="7" t="s">
        <v>543</v>
      </c>
      <c r="AA202" s="7" t="s">
        <v>144</v>
      </c>
      <c r="AB202" s="21" t="s">
        <v>2833</v>
      </c>
      <c r="AC202" s="6" t="s">
        <v>2438</v>
      </c>
      <c r="AD202" s="6"/>
    </row>
    <row r="203" spans="1:30" ht="69.95" customHeight="1">
      <c r="A203" s="34">
        <v>191</v>
      </c>
      <c r="B203" s="7">
        <v>2016</v>
      </c>
      <c r="C203" s="6" t="s">
        <v>31</v>
      </c>
      <c r="D203" s="6" t="str">
        <f>'[1]V, inciso p) (OP)'!D118</f>
        <v>DOPI-FED-PR-PAV-LP-191-2016</v>
      </c>
      <c r="E203" s="10">
        <f>'[1]V, inciso p) (OP)'!AD118</f>
        <v>42704</v>
      </c>
      <c r="F203" s="32" t="str">
        <f>'[1]V, inciso p) (OP)'!AL118</f>
        <v>Reencarpetamiento de vialidad Calle Pípila con concreto hidráulico desde la Calle Felipe Ángeles a la Calle Rizo Ayala, incluye: guarniciones, banquetas, renivelación de pozos y cajas, señalamiento vertical y horizontal, Municipio de Zapopan, Jalisco</v>
      </c>
      <c r="G203" s="6" t="s">
        <v>3313</v>
      </c>
      <c r="H203" s="39">
        <v>11315746.369999999</v>
      </c>
      <c r="I203" s="6" t="str">
        <f>'[1]V, inciso p) (OP)'!AS118</f>
        <v>Colonia La Martinica</v>
      </c>
      <c r="J203" s="6" t="str">
        <f>'[1]V, inciso p) (OP)'!T118</f>
        <v>Sergio Cesar</v>
      </c>
      <c r="K203" s="7" t="str">
        <f>'[1]V, inciso p) (OP)'!U118</f>
        <v>Diaz</v>
      </c>
      <c r="L203" s="7" t="str">
        <f>'[1]V, inciso p) (OP)'!V118</f>
        <v>Quiroz</v>
      </c>
      <c r="M203" s="6" t="s">
        <v>2972</v>
      </c>
      <c r="N203" s="7" t="str">
        <f>'[1]V, inciso p) (OP)'!X118</f>
        <v>GUN880613NY1</v>
      </c>
      <c r="O203" s="11">
        <f t="shared" si="6"/>
        <v>11315746.369999999</v>
      </c>
      <c r="P203" s="11">
        <v>11325746.359999999</v>
      </c>
      <c r="Q203" s="7" t="s">
        <v>561</v>
      </c>
      <c r="R203" s="11">
        <f>O203/6183</f>
        <v>1830.1385039624777</v>
      </c>
      <c r="S203" s="7" t="s">
        <v>41</v>
      </c>
      <c r="T203" s="12">
        <v>1840</v>
      </c>
      <c r="U203" s="13" t="s">
        <v>42</v>
      </c>
      <c r="V203" s="7" t="s">
        <v>43</v>
      </c>
      <c r="W203" s="10">
        <f>'[1]V, inciso p) (OP)'!AM118</f>
        <v>42705</v>
      </c>
      <c r="X203" s="10">
        <f>'[1]V, inciso p) (OP)'!AN118</f>
        <v>42735</v>
      </c>
      <c r="Y203" s="7" t="s">
        <v>542</v>
      </c>
      <c r="Z203" s="7" t="s">
        <v>543</v>
      </c>
      <c r="AA203" s="7" t="s">
        <v>144</v>
      </c>
      <c r="AB203" s="21" t="s">
        <v>2834</v>
      </c>
      <c r="AC203" s="6" t="s">
        <v>2438</v>
      </c>
      <c r="AD203" s="6"/>
    </row>
    <row r="204" spans="1:30" ht="69.95" customHeight="1">
      <c r="A204" s="34">
        <v>192</v>
      </c>
      <c r="B204" s="7">
        <v>2016</v>
      </c>
      <c r="C204" s="6" t="s">
        <v>31</v>
      </c>
      <c r="D204" s="6" t="str">
        <f>'[1]V, inciso p) (OP)'!D119</f>
        <v>DOPI-FED-PR-PAV-LP-192-2016</v>
      </c>
      <c r="E204" s="10">
        <f>'[1]V, inciso p) (OP)'!AD119</f>
        <v>42704</v>
      </c>
      <c r="F204" s="32" t="str">
        <f>'[1]V, inciso p) (OP)'!AL119</f>
        <v>Reencarpetamiento de vialidad con concreto hidráulico Calle González Gallo desde la Av. Prolongación Federalismo al andador Rosario Guadalupe, incluye: guarniciones, banquetas, renivelaciones de pozos y cajas, señalamiento vertical y horizontal, Municipio de Zapopan, Jalisco.</v>
      </c>
      <c r="G204" s="6" t="s">
        <v>3313</v>
      </c>
      <c r="H204" s="39">
        <v>9890000</v>
      </c>
      <c r="I204" s="6" t="str">
        <f>'[1]V, inciso p) (OP)'!AS119</f>
        <v>Colonia Parque del Auditorio</v>
      </c>
      <c r="J204" s="6" t="str">
        <f>'[1]V, inciso p) (OP)'!T119</f>
        <v>José</v>
      </c>
      <c r="K204" s="7" t="str">
        <f>'[1]V, inciso p) (OP)'!U119</f>
        <v>Plascencia</v>
      </c>
      <c r="L204" s="7" t="str">
        <f>'[1]V, inciso p) (OP)'!V119</f>
        <v>Casillas</v>
      </c>
      <c r="M204" s="6" t="s">
        <v>3048</v>
      </c>
      <c r="N204" s="7" t="str">
        <f>'[1]V, inciso p) (OP)'!X119</f>
        <v>PPC980828SY4</v>
      </c>
      <c r="O204" s="11">
        <f t="shared" si="6"/>
        <v>9890000</v>
      </c>
      <c r="P204" s="11">
        <v>9890000.0099999998</v>
      </c>
      <c r="Q204" s="7" t="s">
        <v>562</v>
      </c>
      <c r="R204" s="11">
        <f>O204/5521</f>
        <v>1791.3421481615649</v>
      </c>
      <c r="S204" s="7" t="s">
        <v>41</v>
      </c>
      <c r="T204" s="12">
        <v>2460</v>
      </c>
      <c r="U204" s="13" t="s">
        <v>42</v>
      </c>
      <c r="V204" s="43" t="s">
        <v>43</v>
      </c>
      <c r="W204" s="10">
        <f>'[1]V, inciso p) (OP)'!AM119</f>
        <v>42705</v>
      </c>
      <c r="X204" s="10">
        <f>'[1]V, inciso p) (OP)'!AN119</f>
        <v>42735</v>
      </c>
      <c r="Y204" s="7" t="s">
        <v>542</v>
      </c>
      <c r="Z204" s="7" t="s">
        <v>543</v>
      </c>
      <c r="AA204" s="7" t="s">
        <v>144</v>
      </c>
      <c r="AB204" s="21" t="s">
        <v>2835</v>
      </c>
      <c r="AC204" s="6" t="s">
        <v>2438</v>
      </c>
      <c r="AD204" s="6"/>
    </row>
    <row r="205" spans="1:30" ht="69.95" customHeight="1">
      <c r="A205" s="34">
        <v>193</v>
      </c>
      <c r="B205" s="7">
        <v>2016</v>
      </c>
      <c r="C205" s="6" t="s">
        <v>31</v>
      </c>
      <c r="D205" s="6" t="str">
        <f>'[1]V, inciso p) (OP)'!D120</f>
        <v>DOPI-FED-PR-PAV-LP-193-2016</v>
      </c>
      <c r="E205" s="10">
        <f>'[1]V, inciso p) (OP)'!AD120</f>
        <v>42704</v>
      </c>
      <c r="F205" s="32" t="str">
        <f>'[1]V, inciso p) (OP)'!AL120</f>
        <v>Construcción de vialidad con concreto hidráulico en calle Ingeniero Alberto Mora López, desde la calle Elote a Carretera a Saltillo, incluye: guarniciones, banquetas, red de agua potable y alcantarillado y red de alumbrado público, zona las Mesas, municipio de Zapopan, Jalisco.</v>
      </c>
      <c r="G205" s="6" t="s">
        <v>3311</v>
      </c>
      <c r="H205" s="39">
        <v>1879618.12</v>
      </c>
      <c r="I205" s="6" t="str">
        <f>'[1]V, inciso p) (OP)'!AS120</f>
        <v>Colonia Mesa Colorada Oriente</v>
      </c>
      <c r="J205" s="6" t="str">
        <f>'[1]V, inciso p) (OP)'!T120</f>
        <v>Erick</v>
      </c>
      <c r="K205" s="7" t="str">
        <f>'[1]V, inciso p) (OP)'!U120</f>
        <v>Villaseñor</v>
      </c>
      <c r="L205" s="7" t="str">
        <f>'[1]V, inciso p) (OP)'!V120</f>
        <v>Gutiérrez</v>
      </c>
      <c r="M205" s="6" t="s">
        <v>3049</v>
      </c>
      <c r="N205" s="7" t="str">
        <f>'[1]V, inciso p) (OP)'!X120</f>
        <v>PCO140829425</v>
      </c>
      <c r="O205" s="11">
        <f t="shared" si="6"/>
        <v>1879618.12</v>
      </c>
      <c r="P205" s="11">
        <v>1879618.1199999999</v>
      </c>
      <c r="Q205" s="7" t="s">
        <v>563</v>
      </c>
      <c r="R205" s="11">
        <f>O205/898</f>
        <v>2093.1159465478845</v>
      </c>
      <c r="S205" s="7" t="s">
        <v>41</v>
      </c>
      <c r="T205" s="12">
        <v>1450</v>
      </c>
      <c r="U205" s="13" t="s">
        <v>42</v>
      </c>
      <c r="V205" s="7" t="s">
        <v>43</v>
      </c>
      <c r="W205" s="10">
        <f>'[1]V, inciso p) (OP)'!AM120</f>
        <v>42705</v>
      </c>
      <c r="X205" s="10">
        <f>'[1]V, inciso p) (OP)'!AN120</f>
        <v>42735</v>
      </c>
      <c r="Y205" s="7" t="s">
        <v>345</v>
      </c>
      <c r="Z205" s="7" t="s">
        <v>346</v>
      </c>
      <c r="AA205" s="7" t="s">
        <v>347</v>
      </c>
      <c r="AB205" s="21" t="s">
        <v>2836</v>
      </c>
      <c r="AC205" s="6" t="s">
        <v>2438</v>
      </c>
      <c r="AD205" s="6"/>
    </row>
    <row r="206" spans="1:30" ht="69.95" customHeight="1">
      <c r="A206" s="34">
        <v>194</v>
      </c>
      <c r="B206" s="7">
        <v>2016</v>
      </c>
      <c r="C206" s="6" t="s">
        <v>31</v>
      </c>
      <c r="D206" s="6" t="str">
        <f>'[1]V, inciso p) (OP)'!D121</f>
        <v>DOPI-FED-SM-RS-LP-194-2016</v>
      </c>
      <c r="E206" s="10">
        <f>'[1]V, inciso p) (OP)'!AD121</f>
        <v>42704</v>
      </c>
      <c r="F206" s="6" t="str">
        <f>'[1]V, inciso p) (OP)'!AL121</f>
        <v>Construcción de la celda V y primera fase del equipamiento de la planta de separación y alta compactación para el relleno sanitario Picachos del municipio de Zapopan, Jalisco.</v>
      </c>
      <c r="G206" s="6" t="s">
        <v>3319</v>
      </c>
      <c r="H206" s="39">
        <v>53876349.590000004</v>
      </c>
      <c r="I206" s="6" t="str">
        <f>'[1]V, inciso p) (OP)'!AS121</f>
        <v>Relleno Sanitario de Picachos</v>
      </c>
      <c r="J206" s="6" t="str">
        <f>'[1]V, inciso p) (OP)'!T121</f>
        <v>Héctor</v>
      </c>
      <c r="K206" s="7" t="str">
        <f>'[1]V, inciso p) (OP)'!U121</f>
        <v>Gaytán</v>
      </c>
      <c r="L206" s="7" t="str">
        <f>'[1]V, inciso p) (OP)'!V121</f>
        <v>Galicia</v>
      </c>
      <c r="M206" s="6" t="s">
        <v>3050</v>
      </c>
      <c r="N206" s="7" t="str">
        <f>'[1]V, inciso p) (OP)'!X121</f>
        <v>SCS1301173MA</v>
      </c>
      <c r="O206" s="11">
        <f t="shared" si="6"/>
        <v>53876349.590000004</v>
      </c>
      <c r="P206" s="11">
        <v>53876349.600000001</v>
      </c>
      <c r="Q206" s="7" t="s">
        <v>564</v>
      </c>
      <c r="R206" s="11">
        <f>O206/47361.07</f>
        <v>1137.5661400808724</v>
      </c>
      <c r="S206" s="7" t="s">
        <v>41</v>
      </c>
      <c r="T206" s="12">
        <v>1243756</v>
      </c>
      <c r="U206" s="13" t="s">
        <v>42</v>
      </c>
      <c r="V206" s="43" t="s">
        <v>43</v>
      </c>
      <c r="W206" s="10">
        <f>'[1]V, inciso p) (OP)'!AM121</f>
        <v>42705</v>
      </c>
      <c r="X206" s="10">
        <f>'[1]V, inciso p) (OP)'!AN121</f>
        <v>42735</v>
      </c>
      <c r="Y206" s="7" t="s">
        <v>460</v>
      </c>
      <c r="Z206" s="7" t="s">
        <v>302</v>
      </c>
      <c r="AA206" s="7" t="s">
        <v>303</v>
      </c>
      <c r="AB206" s="21" t="s">
        <v>1506</v>
      </c>
      <c r="AC206" s="6" t="s">
        <v>2438</v>
      </c>
      <c r="AD206" s="6"/>
    </row>
    <row r="207" spans="1:30" ht="69.95" customHeight="1">
      <c r="A207" s="34">
        <v>195</v>
      </c>
      <c r="B207" s="7">
        <v>2016</v>
      </c>
      <c r="C207" s="6" t="s">
        <v>31</v>
      </c>
      <c r="D207" s="6" t="str">
        <f>'[1]V, inciso p) (OP)'!D122</f>
        <v>DOPI-EST-FC-IS-LP-195-2016</v>
      </c>
      <c r="E207" s="10">
        <f>'[1]V, inciso p) (OP)'!AD122</f>
        <v>42726</v>
      </c>
      <c r="F207" s="6" t="str">
        <f>'[1]V, inciso p) (OP)'!AL122</f>
        <v>Rehabilitación de Cruz Verde Federalismo, Municipio de Zapopan, Jalisco.</v>
      </c>
      <c r="G207" s="6" t="s">
        <v>3316</v>
      </c>
      <c r="H207" s="39">
        <v>4495293.74</v>
      </c>
      <c r="I207" s="6" t="str">
        <f>'[1]V, inciso p) (OP)'!AS122</f>
        <v>Colonia Auditorio</v>
      </c>
      <c r="J207" s="6" t="str">
        <f>'[1]V, inciso p) (OP)'!T122</f>
        <v>Luis Armando</v>
      </c>
      <c r="K207" s="7" t="str">
        <f>'[1]V, inciso p) (OP)'!U122</f>
        <v>Linares</v>
      </c>
      <c r="L207" s="7" t="str">
        <f>'[1]V, inciso p) (OP)'!V122</f>
        <v>Cacho</v>
      </c>
      <c r="M207" s="6" t="s">
        <v>3002</v>
      </c>
      <c r="N207" s="7" t="str">
        <f>'[1]V, inciso p) (OP)'!X122</f>
        <v>URC160310857</v>
      </c>
      <c r="O207" s="11">
        <f t="shared" si="6"/>
        <v>4495293.74</v>
      </c>
      <c r="P207" s="11">
        <v>3919999.97</v>
      </c>
      <c r="Q207" s="7" t="s">
        <v>565</v>
      </c>
      <c r="R207" s="11">
        <f>O207/417.4</f>
        <v>10769.750215620508</v>
      </c>
      <c r="S207" s="7" t="s">
        <v>41</v>
      </c>
      <c r="T207" s="12">
        <v>242366</v>
      </c>
      <c r="U207" s="13" t="s">
        <v>42</v>
      </c>
      <c r="V207" s="7" t="s">
        <v>43</v>
      </c>
      <c r="W207" s="10">
        <f>'[1]V, inciso p) (OP)'!AM122</f>
        <v>42727</v>
      </c>
      <c r="X207" s="10">
        <f>'[1]V, inciso p) (OP)'!AN122</f>
        <v>42816</v>
      </c>
      <c r="Y207" s="7" t="s">
        <v>501</v>
      </c>
      <c r="Z207" s="7" t="s">
        <v>502</v>
      </c>
      <c r="AA207" s="7" t="s">
        <v>503</v>
      </c>
      <c r="AB207" s="21" t="s">
        <v>2837</v>
      </c>
      <c r="AC207" s="6" t="s">
        <v>2438</v>
      </c>
      <c r="AD207" s="6"/>
    </row>
    <row r="208" spans="1:30" ht="69.95" customHeight="1">
      <c r="A208" s="34">
        <v>196</v>
      </c>
      <c r="B208" s="7">
        <v>2016</v>
      </c>
      <c r="C208" s="6" t="s">
        <v>31</v>
      </c>
      <c r="D208" s="6" t="str">
        <f>'[1]V, inciso p) (OP)'!D123</f>
        <v>DOPI-EST-CR-IM-LP-196-2016</v>
      </c>
      <c r="E208" s="10">
        <f>'[1]V, inciso p) (OP)'!AD123</f>
        <v>42726</v>
      </c>
      <c r="F208" s="6" t="str">
        <f>'[1]V, inciso p) (OP)'!AL123</f>
        <v>Construcción del Centro Cultural en Villa de Guadalupe.</v>
      </c>
      <c r="G208" s="6" t="s">
        <v>3315</v>
      </c>
      <c r="H208" s="39">
        <v>14395555.26</v>
      </c>
      <c r="I208" s="6" t="str">
        <f>'[1]V, inciso p) (OP)'!AS123</f>
        <v>Colonia Villa de Guadalupe</v>
      </c>
      <c r="J208" s="6" t="str">
        <f>'[1]V, inciso p) (OP)'!T123</f>
        <v>José Antonio</v>
      </c>
      <c r="K208" s="7" t="str">
        <f>'[1]V, inciso p) (OP)'!U123</f>
        <v>Álvarez</v>
      </c>
      <c r="L208" s="7" t="str">
        <f>'[1]V, inciso p) (OP)'!V123</f>
        <v>García</v>
      </c>
      <c r="M208" s="6" t="s">
        <v>320</v>
      </c>
      <c r="N208" s="7" t="str">
        <f>'[1]V, inciso p) (OP)'!X123</f>
        <v>UMN160125869</v>
      </c>
      <c r="O208" s="11">
        <f t="shared" si="6"/>
        <v>14395555.26</v>
      </c>
      <c r="P208" s="11">
        <v>14388627.57</v>
      </c>
      <c r="Q208" s="7" t="s">
        <v>566</v>
      </c>
      <c r="R208" s="11">
        <f>O208/767.32</f>
        <v>18760.82372413074</v>
      </c>
      <c r="S208" s="7" t="s">
        <v>41</v>
      </c>
      <c r="T208" s="12">
        <v>84152</v>
      </c>
      <c r="U208" s="13" t="s">
        <v>42</v>
      </c>
      <c r="V208" s="43" t="s">
        <v>43</v>
      </c>
      <c r="W208" s="10">
        <f>'[1]V, inciso p) (OP)'!AM123</f>
        <v>42727</v>
      </c>
      <c r="X208" s="10">
        <f>'[1]V, inciso p) (OP)'!AN123</f>
        <v>42846</v>
      </c>
      <c r="Y208" s="7" t="s">
        <v>501</v>
      </c>
      <c r="Z208" s="7" t="s">
        <v>502</v>
      </c>
      <c r="AA208" s="7" t="s">
        <v>503</v>
      </c>
      <c r="AB208" s="21" t="s">
        <v>2838</v>
      </c>
      <c r="AC208" s="6" t="s">
        <v>2438</v>
      </c>
      <c r="AD208" s="6"/>
    </row>
    <row r="209" spans="1:30" ht="69.95" customHeight="1">
      <c r="A209" s="34">
        <v>198</v>
      </c>
      <c r="B209" s="7">
        <v>2016</v>
      </c>
      <c r="C209" s="6" t="s">
        <v>139</v>
      </c>
      <c r="D209" s="6" t="str">
        <f>'[1]V, inciso p) (OP)'!D124</f>
        <v>DOPI‐MUN‐PP‐EP‐CI‐198‐2016</v>
      </c>
      <c r="E209" s="10">
        <f>'[1]V, inciso p) (OP)'!AD124</f>
        <v>42727</v>
      </c>
      <c r="F209" s="6" t="str">
        <f>'[1]V, inciso p) (OP)'!AL124</f>
        <v>Mejoramiento de la imagen urbana de la plaza pública de localidad de Tesistán municipio de Zapopan, Jalisco.</v>
      </c>
      <c r="G209" s="6" t="s">
        <v>63</v>
      </c>
      <c r="H209" s="39">
        <v>8110239.25</v>
      </c>
      <c r="I209" s="6" t="str">
        <f>'[1]V, inciso p) (OP)'!AS124</f>
        <v>Localidad de Tesistán</v>
      </c>
      <c r="J209" s="6" t="str">
        <f>'[1]V, inciso p) (OP)'!T124</f>
        <v>Amalia</v>
      </c>
      <c r="K209" s="7" t="str">
        <f>'[1]V, inciso p) (OP)'!U124</f>
        <v>Moreno</v>
      </c>
      <c r="L209" s="7" t="str">
        <f>'[1]V, inciso p) (OP)'!V124</f>
        <v>Maldonado</v>
      </c>
      <c r="M209" s="6" t="s">
        <v>3038</v>
      </c>
      <c r="N209" s="7" t="str">
        <f>'[1]V, inciso p) (OP)'!X124</f>
        <v>GCM020226F28</v>
      </c>
      <c r="O209" s="11">
        <f t="shared" si="6"/>
        <v>8110239.25</v>
      </c>
      <c r="P209" s="11">
        <v>6292587.8300000001</v>
      </c>
      <c r="Q209" s="7" t="s">
        <v>567</v>
      </c>
      <c r="R209" s="11">
        <f>O209/3642.95</f>
        <v>2226.2834378731523</v>
      </c>
      <c r="S209" s="7" t="s">
        <v>41</v>
      </c>
      <c r="T209" s="12">
        <v>39269</v>
      </c>
      <c r="U209" s="13" t="s">
        <v>42</v>
      </c>
      <c r="V209" s="43" t="s">
        <v>43</v>
      </c>
      <c r="W209" s="10">
        <f>'[1]V, inciso p) (OP)'!AM124</f>
        <v>42730</v>
      </c>
      <c r="X209" s="10">
        <f>'[1]V, inciso p) (OP)'!AN124</f>
        <v>42831</v>
      </c>
      <c r="Y209" s="7" t="s">
        <v>331</v>
      </c>
      <c r="Z209" s="7" t="s">
        <v>332</v>
      </c>
      <c r="AA209" s="7" t="s">
        <v>116</v>
      </c>
      <c r="AB209" s="21" t="s">
        <v>2839</v>
      </c>
      <c r="AC209" s="6" t="s">
        <v>2438</v>
      </c>
      <c r="AD209" s="6"/>
    </row>
    <row r="210" spans="1:30" ht="69.95" customHeight="1">
      <c r="A210" s="34">
        <v>199</v>
      </c>
      <c r="B210" s="7">
        <v>2016</v>
      </c>
      <c r="C210" s="6" t="s">
        <v>31</v>
      </c>
      <c r="D210" s="6" t="str">
        <f>'[1]V, inciso p) (OP)'!D125</f>
        <v>DOPI‐MUN‐PP‐IS‐LP‐199‐2016</v>
      </c>
      <c r="E210" s="10">
        <f>'[1]V, inciso p) (OP)'!AD125</f>
        <v>42754</v>
      </c>
      <c r="F210" s="6" t="str">
        <f>'[1]V, inciso p) (OP)'!AL125</f>
        <v>Construcción de la cruz verde Villa de Guadalupe, en la zona de las mesas, municipio de Zapopan, Jalisco.</v>
      </c>
      <c r="G210" s="6" t="s">
        <v>63</v>
      </c>
      <c r="H210" s="39">
        <v>35109987.490000002</v>
      </c>
      <c r="I210" s="6" t="str">
        <f>'[1]V, inciso p) (OP)'!AS125</f>
        <v>Zona de Las Mesas</v>
      </c>
      <c r="J210" s="6" t="str">
        <f>'[1]V, inciso p) (OP)'!T125</f>
        <v>Ernesto</v>
      </c>
      <c r="K210" s="7" t="str">
        <f>'[1]V, inciso p) (OP)'!U125</f>
        <v>Olivares</v>
      </c>
      <c r="L210" s="7" t="str">
        <f>'[1]V, inciso p) (OP)'!V125</f>
        <v>Álvarez</v>
      </c>
      <c r="M210" s="6" t="s">
        <v>3051</v>
      </c>
      <c r="N210" s="7" t="str">
        <f>'[1]V, inciso p) (OP)'!X125</f>
        <v>SMJ090317FS9</v>
      </c>
      <c r="O210" s="11">
        <f t="shared" si="6"/>
        <v>35109987.490000002</v>
      </c>
      <c r="P210" s="11">
        <v>35109987.490000002</v>
      </c>
      <c r="Q210" s="7" t="s">
        <v>568</v>
      </c>
      <c r="R210" s="11">
        <f>O210/1200</f>
        <v>29258.322908333335</v>
      </c>
      <c r="S210" s="7" t="s">
        <v>41</v>
      </c>
      <c r="T210" s="12">
        <v>92780</v>
      </c>
      <c r="U210" s="13" t="s">
        <v>42</v>
      </c>
      <c r="V210" s="43" t="s">
        <v>43</v>
      </c>
      <c r="W210" s="10">
        <f>'[1]V, inciso p) (OP)'!AM125</f>
        <v>42755</v>
      </c>
      <c r="X210" s="10">
        <f>'[1]V, inciso p) (OP)'!AN125</f>
        <v>42874</v>
      </c>
      <c r="Y210" s="7" t="s">
        <v>501</v>
      </c>
      <c r="Z210" s="7" t="s">
        <v>502</v>
      </c>
      <c r="AA210" s="7" t="s">
        <v>503</v>
      </c>
      <c r="AB210" s="21" t="s">
        <v>2840</v>
      </c>
      <c r="AC210" s="6" t="s">
        <v>2438</v>
      </c>
      <c r="AD210" s="6"/>
    </row>
    <row r="211" spans="1:30" ht="69.95" customHeight="1">
      <c r="A211" s="34">
        <v>200</v>
      </c>
      <c r="B211" s="7">
        <v>2016</v>
      </c>
      <c r="C211" s="6" t="s">
        <v>139</v>
      </c>
      <c r="D211" s="6" t="str">
        <f>'[1]V, inciso p) (OP)'!D126</f>
        <v>DOPI-MUN-PP-ID-CI-200-2016</v>
      </c>
      <c r="E211" s="10">
        <f>'[1]V, inciso p) (OP)'!AD126</f>
        <v>42727</v>
      </c>
      <c r="F211" s="6" t="str">
        <f>'[1]V, inciso p) (OP)'!AL126</f>
        <v>Rehabilitación de las instalaciones y equipamiento deportivo de la Unidad Deportiva Lomas de Tabachines, municipio de Zapopan, Jalisco.</v>
      </c>
      <c r="G211" s="6" t="s">
        <v>63</v>
      </c>
      <c r="H211" s="39">
        <v>6502584.6699999999</v>
      </c>
      <c r="I211" s="6" t="str">
        <f>'[1]V, inciso p) (OP)'!AS126</f>
        <v>Colonia Lomas de Tabachines</v>
      </c>
      <c r="J211" s="6" t="str">
        <f>'[1]V, inciso p) (OP)'!T126</f>
        <v>Carlos Alberto</v>
      </c>
      <c r="K211" s="7" t="str">
        <f>'[1]V, inciso p) (OP)'!U126</f>
        <v>Villaseñor</v>
      </c>
      <c r="L211" s="7" t="str">
        <f>'[1]V, inciso p) (OP)'!V126</f>
        <v>Núñez</v>
      </c>
      <c r="M211" s="6" t="s">
        <v>3052</v>
      </c>
      <c r="N211" s="7" t="str">
        <f>'[1]V, inciso p) (OP)'!X126</f>
        <v>MME011214IV5</v>
      </c>
      <c r="O211" s="11">
        <f t="shared" si="6"/>
        <v>6502584.6699999999</v>
      </c>
      <c r="P211" s="11">
        <v>5185995.78</v>
      </c>
      <c r="Q211" s="7" t="s">
        <v>569</v>
      </c>
      <c r="R211" s="11">
        <f>O211/9522.21</f>
        <v>682.88608106731533</v>
      </c>
      <c r="S211" s="7" t="s">
        <v>41</v>
      </c>
      <c r="T211" s="12">
        <v>26544</v>
      </c>
      <c r="U211" s="13" t="s">
        <v>42</v>
      </c>
      <c r="V211" s="7" t="s">
        <v>43</v>
      </c>
      <c r="W211" s="10">
        <f>'[1]V, inciso p) (OP)'!AM126</f>
        <v>42730</v>
      </c>
      <c r="X211" s="10">
        <f>'[1]V, inciso p) (OP)'!AN126</f>
        <v>42820</v>
      </c>
      <c r="Y211" s="7" t="s">
        <v>441</v>
      </c>
      <c r="Z211" s="7" t="s">
        <v>442</v>
      </c>
      <c r="AA211" s="7" t="s">
        <v>443</v>
      </c>
      <c r="AB211" s="21" t="s">
        <v>1507</v>
      </c>
      <c r="AC211" s="6" t="s">
        <v>2438</v>
      </c>
      <c r="AD211" s="6"/>
    </row>
    <row r="212" spans="1:30" ht="69.95" customHeight="1">
      <c r="A212" s="34">
        <v>201</v>
      </c>
      <c r="B212" s="7">
        <v>2016</v>
      </c>
      <c r="C212" s="6" t="s">
        <v>139</v>
      </c>
      <c r="D212" s="6" t="str">
        <f>'[1]V, inciso p) (OP)'!D127</f>
        <v>DOPI-MUN-RM-ID-CI-201-2016</v>
      </c>
      <c r="E212" s="10">
        <f>'[1]V, inciso p) (OP)'!AD127</f>
        <v>42727</v>
      </c>
      <c r="F212" s="6" t="str">
        <f>'[1]V, inciso p) (OP)'!AL127</f>
        <v>Rehabilitación de las instalaciones y equipamiento deportivo de la Unidad Deportiva Santa María del Pueblito, municipio de Zapopan, Jalisco.</v>
      </c>
      <c r="G212" s="6" t="s">
        <v>63</v>
      </c>
      <c r="H212" s="39">
        <v>9454751.6099999994</v>
      </c>
      <c r="I212" s="6" t="str">
        <f>'[1]V, inciso p) (OP)'!AS127</f>
        <v>Colonia Santa Maria del Pueblito</v>
      </c>
      <c r="J212" s="6" t="str">
        <f>'[1]V, inciso p) (OP)'!T127</f>
        <v>Juan José</v>
      </c>
      <c r="K212" s="7" t="str">
        <f>'[1]V, inciso p) (OP)'!U127</f>
        <v>Gutiérrez</v>
      </c>
      <c r="L212" s="7" t="str">
        <f>'[1]V, inciso p) (OP)'!V127</f>
        <v>Contreras</v>
      </c>
      <c r="M212" s="6" t="s">
        <v>3053</v>
      </c>
      <c r="N212" s="7" t="str">
        <f>'[1]V, inciso p) (OP)'!X127</f>
        <v>RCO130920JX9</v>
      </c>
      <c r="O212" s="11">
        <f t="shared" si="6"/>
        <v>9454751.6099999994</v>
      </c>
      <c r="P212" s="11">
        <v>9454191.5799999982</v>
      </c>
      <c r="Q212" s="7" t="s">
        <v>570</v>
      </c>
      <c r="R212" s="11">
        <f>O212/5960</f>
        <v>1586.3677197986576</v>
      </c>
      <c r="S212" s="7" t="s">
        <v>41</v>
      </c>
      <c r="T212" s="12">
        <v>19865</v>
      </c>
      <c r="U212" s="13" t="s">
        <v>42</v>
      </c>
      <c r="V212" s="7" t="s">
        <v>43</v>
      </c>
      <c r="W212" s="10">
        <f>'[1]V, inciso p) (OP)'!AM127</f>
        <v>42730</v>
      </c>
      <c r="X212" s="10">
        <f>'[1]V, inciso p) (OP)'!AN127</f>
        <v>42850</v>
      </c>
      <c r="Y212" s="7" t="s">
        <v>462</v>
      </c>
      <c r="Z212" s="7" t="s">
        <v>310</v>
      </c>
      <c r="AA212" s="7" t="s">
        <v>130</v>
      </c>
      <c r="AB212" s="21" t="s">
        <v>1508</v>
      </c>
      <c r="AC212" s="6" t="s">
        <v>2438</v>
      </c>
      <c r="AD212" s="6"/>
    </row>
    <row r="213" spans="1:30" ht="69.95" customHeight="1">
      <c r="A213" s="34">
        <v>202</v>
      </c>
      <c r="B213" s="7">
        <v>2016</v>
      </c>
      <c r="C213" s="6" t="s">
        <v>31</v>
      </c>
      <c r="D213" s="6" t="str">
        <f>'[1]V, inciso p) (OP)'!D128</f>
        <v>DOPI-EST-CM-PAV-LP-202-2016</v>
      </c>
      <c r="E213" s="10">
        <f>'[1]V, inciso p) (OP)'!AD128</f>
        <v>42754</v>
      </c>
      <c r="F213" s="6" t="str">
        <f>'[1]V, inciso p) (OP)'!AL128</f>
        <v>Renovación urbana en área habitacional y de zona comercial del Andador 20 de Noviembre en el Centro de Zapopan, Jalisco.</v>
      </c>
      <c r="G213" s="6" t="s">
        <v>3320</v>
      </c>
      <c r="H213" s="39">
        <v>16710004.48</v>
      </c>
      <c r="I213" s="6" t="str">
        <f>'[1]V, inciso p) (OP)'!AS128</f>
        <v>Zapopan Centro</v>
      </c>
      <c r="J213" s="6" t="str">
        <f>'[1]V, inciso p) (OP)'!T128</f>
        <v>Ignacio Javier</v>
      </c>
      <c r="K213" s="7" t="str">
        <f>'[1]V, inciso p) (OP)'!U128</f>
        <v>Curiel</v>
      </c>
      <c r="L213" s="7" t="str">
        <f>'[1]V, inciso p) (OP)'!V128</f>
        <v>Dueñas</v>
      </c>
      <c r="M213" s="6" t="s">
        <v>248</v>
      </c>
      <c r="N213" s="7" t="str">
        <f>'[1]V, inciso p) (OP)'!X128</f>
        <v>TCM100915HA1</v>
      </c>
      <c r="O213" s="11">
        <f t="shared" si="6"/>
        <v>16710004.48</v>
      </c>
      <c r="P213" s="11">
        <v>16710004.48</v>
      </c>
      <c r="Q213" s="7" t="s">
        <v>571</v>
      </c>
      <c r="R213" s="11">
        <f>O213/8833</f>
        <v>1891.7700079248275</v>
      </c>
      <c r="S213" s="7" t="s">
        <v>41</v>
      </c>
      <c r="T213" s="12">
        <v>643192</v>
      </c>
      <c r="U213" s="13" t="s">
        <v>42</v>
      </c>
      <c r="V213" s="7" t="s">
        <v>373</v>
      </c>
      <c r="W213" s="10">
        <f>'[1]V, inciso p) (OP)'!AM128</f>
        <v>42755</v>
      </c>
      <c r="X213" s="10">
        <f>'[1]V, inciso p) (OP)'!AN128</f>
        <v>42834</v>
      </c>
      <c r="Y213" s="7" t="s">
        <v>446</v>
      </c>
      <c r="Z213" s="7" t="s">
        <v>572</v>
      </c>
      <c r="AA213" s="7" t="s">
        <v>573</v>
      </c>
      <c r="AB213" s="21" t="s">
        <v>2789</v>
      </c>
      <c r="AC213" s="6" t="s">
        <v>2438</v>
      </c>
      <c r="AD213" s="6"/>
    </row>
    <row r="214" spans="1:30" ht="69.95" customHeight="1">
      <c r="A214" s="34">
        <v>203</v>
      </c>
      <c r="B214" s="7">
        <v>2016</v>
      </c>
      <c r="C214" s="6" t="s">
        <v>31</v>
      </c>
      <c r="D214" s="6" t="str">
        <f>'[1]V, inciso p) (OP)'!D129</f>
        <v>DOPI-EST-CM-PAV-LP-203-2016</v>
      </c>
      <c r="E214" s="10">
        <f>'[1]V, inciso p) (OP)'!AD129</f>
        <v>42754</v>
      </c>
      <c r="F214" s="6" t="str">
        <f>'[1]V, inciso p) (OP)'!AL129</f>
        <v>Renovación urbana de área habitacional y de zona comercial de laterales de Av. Aviación, del tramo de Juan Gil Preciado a Camino Antiguo a Tesistán, en Zapopan, Jalisco.</v>
      </c>
      <c r="G214" s="6" t="s">
        <v>3320</v>
      </c>
      <c r="H214" s="39">
        <v>12580210.390000001</v>
      </c>
      <c r="I214" s="6" t="str">
        <f>'[1]V, inciso p) (OP)'!AS129</f>
        <v>Col. Nuevo México</v>
      </c>
      <c r="J214" s="6" t="str">
        <f>'[1]V, inciso p) (OP)'!T129</f>
        <v>Felipe Daniel</v>
      </c>
      <c r="K214" s="7" t="str">
        <f>'[1]V, inciso p) (OP)'!U129</f>
        <v>Nuñez</v>
      </c>
      <c r="L214" s="7" t="str">
        <f>'[1]V, inciso p) (OP)'!V129</f>
        <v>Hernández</v>
      </c>
      <c r="M214" s="6" t="s">
        <v>3054</v>
      </c>
      <c r="N214" s="7" t="str">
        <f>'[1]V, inciso p) (OP)'!X129</f>
        <v>GCF8504255B8</v>
      </c>
      <c r="O214" s="11">
        <f t="shared" si="6"/>
        <v>12580210.390000001</v>
      </c>
      <c r="P214" s="11">
        <v>4193403.46</v>
      </c>
      <c r="Q214" s="7" t="s">
        <v>574</v>
      </c>
      <c r="R214" s="11">
        <f>O214/8401</f>
        <v>1497.4658243066303</v>
      </c>
      <c r="S214" s="7" t="s">
        <v>41</v>
      </c>
      <c r="T214" s="12">
        <v>174914</v>
      </c>
      <c r="U214" s="13" t="s">
        <v>42</v>
      </c>
      <c r="V214" s="7" t="s">
        <v>43</v>
      </c>
      <c r="W214" s="10">
        <f>'[1]V, inciso p) (OP)'!AM129</f>
        <v>42755</v>
      </c>
      <c r="X214" s="10">
        <f>'[1]V, inciso p) (OP)'!AN129</f>
        <v>42834</v>
      </c>
      <c r="Y214" s="7" t="s">
        <v>394</v>
      </c>
      <c r="Z214" s="7" t="s">
        <v>279</v>
      </c>
      <c r="AA214" s="7" t="s">
        <v>78</v>
      </c>
      <c r="AB214" s="21" t="s">
        <v>1509</v>
      </c>
      <c r="AC214" s="6" t="s">
        <v>2438</v>
      </c>
      <c r="AD214" s="6"/>
    </row>
    <row r="215" spans="1:30" ht="69.95" customHeight="1">
      <c r="A215" s="34">
        <v>204</v>
      </c>
      <c r="B215" s="7">
        <v>2016</v>
      </c>
      <c r="C215" s="6" t="s">
        <v>31</v>
      </c>
      <c r="D215" s="6" t="str">
        <f>'[1]V, inciso p) (OP)'!D130</f>
        <v>DOPI-EST-CM-PAV-LP-204-2016</v>
      </c>
      <c r="E215" s="10">
        <f>'[1]V, inciso p) (OP)'!AD130</f>
        <v>42754</v>
      </c>
      <c r="F215" s="6" t="str">
        <f>'[1]V, inciso p) (OP)'!AL130</f>
        <v>Renovación urbana de área habitacional y de zona comercial de Av. Aviación, del tramo del Ingreso de Base Aérea No. 2 a Camino Antiguo a Tesistán, en Zapopan, Jalisco.</v>
      </c>
      <c r="G215" s="6" t="s">
        <v>3320</v>
      </c>
      <c r="H215" s="39">
        <v>52943732.550000004</v>
      </c>
      <c r="I215" s="6" t="str">
        <f>'[1]V, inciso p) (OP)'!AS130</f>
        <v>Col. Nuevo México</v>
      </c>
      <c r="J215" s="6" t="str">
        <f>'[1]V, inciso p) (OP)'!T130</f>
        <v>Andrés Eduardo</v>
      </c>
      <c r="K215" s="7" t="str">
        <f>'[1]V, inciso p) (OP)'!U130</f>
        <v>Aceves</v>
      </c>
      <c r="L215" s="7" t="str">
        <f>'[1]V, inciso p) (OP)'!V130</f>
        <v>Castañeda</v>
      </c>
      <c r="M215" s="6" t="s">
        <v>3055</v>
      </c>
      <c r="N215" s="7" t="str">
        <f>'[1]V, inciso p) (OP)'!X130</f>
        <v>SCO100609EVA</v>
      </c>
      <c r="O215" s="11">
        <f t="shared" si="6"/>
        <v>52943732.550000004</v>
      </c>
      <c r="P215" s="11">
        <v>52943732.549999997</v>
      </c>
      <c r="Q215" s="7" t="s">
        <v>575</v>
      </c>
      <c r="R215" s="11">
        <f>O215/30276</f>
        <v>1748.7030172413795</v>
      </c>
      <c r="S215" s="7" t="s">
        <v>41</v>
      </c>
      <c r="T215" s="12">
        <v>174914</v>
      </c>
      <c r="U215" s="13" t="s">
        <v>42</v>
      </c>
      <c r="V215" s="43" t="s">
        <v>43</v>
      </c>
      <c r="W215" s="10">
        <f>'[1]V, inciso p) (OP)'!AM130</f>
        <v>42755</v>
      </c>
      <c r="X215" s="10">
        <f>'[1]V, inciso p) (OP)'!AN130</f>
        <v>42834</v>
      </c>
      <c r="Y215" s="7" t="s">
        <v>394</v>
      </c>
      <c r="Z215" s="7" t="s">
        <v>279</v>
      </c>
      <c r="AA215" s="7" t="s">
        <v>78</v>
      </c>
      <c r="AB215" s="21" t="s">
        <v>1510</v>
      </c>
      <c r="AC215" s="6" t="s">
        <v>2438</v>
      </c>
      <c r="AD215" s="6"/>
    </row>
    <row r="216" spans="1:30" ht="69.95" customHeight="1">
      <c r="A216" s="34">
        <v>205</v>
      </c>
      <c r="B216" s="7">
        <v>2016</v>
      </c>
      <c r="C216" s="6" t="s">
        <v>31</v>
      </c>
      <c r="D216" s="6" t="str">
        <f>'[1]V, inciso p) (OP)'!D131</f>
        <v>DOPI-EST-CM-PAV-LP-205-2016</v>
      </c>
      <c r="E216" s="10">
        <f>'[1]V, inciso p) (OP)'!AD131</f>
        <v>42754</v>
      </c>
      <c r="F216" s="32" t="str">
        <f>'[1]V, inciso p) (OP)'!AL131</f>
        <v>Renovación urbana de área habitacional de lateral Poniente de Periférico, de Prolongación Av. Central Guillermo González Camarena a Calle 5 de Mayo (incluye puente peatonal sobre Periférico), para la interconexión comercial a Calle 5 de Mayo, Andares, Av. Aviación, Zona Real y Av. Vallarta, en Zapopan, Jalisco.</v>
      </c>
      <c r="G216" s="6" t="s">
        <v>3320</v>
      </c>
      <c r="H216" s="39">
        <v>18744083.59</v>
      </c>
      <c r="I216" s="6" t="str">
        <f>'[1]V, inciso p) (OP)'!AS131</f>
        <v>Col. San Juan de Ocotán</v>
      </c>
      <c r="J216" s="6" t="str">
        <f>'[1]V, inciso p) (OP)'!T131</f>
        <v>Mario</v>
      </c>
      <c r="K216" s="7" t="str">
        <f>'[1]V, inciso p) (OP)'!U131</f>
        <v>Beltrán</v>
      </c>
      <c r="L216" s="7" t="str">
        <f>'[1]V, inciso p) (OP)'!V131</f>
        <v>Rodríguez</v>
      </c>
      <c r="M216" s="6" t="s">
        <v>2998</v>
      </c>
      <c r="N216" s="7" t="str">
        <f>'[1]V, inciso p) (OP)'!X131</f>
        <v>CDB0506068Z4</v>
      </c>
      <c r="O216" s="11">
        <f t="shared" si="6"/>
        <v>18744083.59</v>
      </c>
      <c r="P216" s="11">
        <v>18283235.649999999</v>
      </c>
      <c r="Q216" s="7" t="s">
        <v>576</v>
      </c>
      <c r="R216" s="11">
        <f>O216/14220</f>
        <v>1318.1493382559775</v>
      </c>
      <c r="S216" s="7" t="s">
        <v>41</v>
      </c>
      <c r="T216" s="12">
        <v>145782</v>
      </c>
      <c r="U216" s="13" t="s">
        <v>42</v>
      </c>
      <c r="V216" s="43" t="s">
        <v>43</v>
      </c>
      <c r="W216" s="10">
        <f>'[1]V, inciso p) (OP)'!AM131</f>
        <v>42755</v>
      </c>
      <c r="X216" s="10">
        <f>'[1]V, inciso p) (OP)'!AN131</f>
        <v>42834</v>
      </c>
      <c r="Y216" s="7" t="s">
        <v>317</v>
      </c>
      <c r="Z216" s="7" t="s">
        <v>191</v>
      </c>
      <c r="AA216" s="7" t="s">
        <v>192</v>
      </c>
      <c r="AB216" s="21" t="s">
        <v>1511</v>
      </c>
      <c r="AC216" s="6" t="s">
        <v>2438</v>
      </c>
      <c r="AD216" s="6"/>
    </row>
    <row r="217" spans="1:30" ht="69.95" customHeight="1">
      <c r="A217" s="34">
        <v>206</v>
      </c>
      <c r="B217" s="7">
        <v>2016</v>
      </c>
      <c r="C217" s="6" t="s">
        <v>139</v>
      </c>
      <c r="D217" s="6" t="str">
        <f>'[1]V, inciso p) (OP)'!D132</f>
        <v>DOPI-MUN-RM-ID-CI-206-2016</v>
      </c>
      <c r="E217" s="10">
        <f>'[1]V, inciso p) (OP)'!AD132</f>
        <v>42727</v>
      </c>
      <c r="F217" s="6" t="str">
        <f>'[1]V, inciso p) (OP)'!AL132</f>
        <v>Rehabilitación de las instalaciones y equipamiento deportivo de la Unidad Deportiva Miguel de la Madrid, municipio de Zapopan, Jalisco.</v>
      </c>
      <c r="G217" s="6" t="s">
        <v>63</v>
      </c>
      <c r="H217" s="39">
        <v>7998190.21</v>
      </c>
      <c r="I217" s="6" t="str">
        <f>'[1]V, inciso p) (OP)'!AS132</f>
        <v>Colonia Miguel de la Madrid</v>
      </c>
      <c r="J217" s="6" t="str">
        <f>'[1]V, inciso p) (OP)'!T132</f>
        <v>Apolinar</v>
      </c>
      <c r="K217" s="7" t="str">
        <f>'[1]V, inciso p) (OP)'!U132</f>
        <v>Gómez</v>
      </c>
      <c r="L217" s="7" t="str">
        <f>'[1]V, inciso p) (OP)'!V132</f>
        <v>Alonso</v>
      </c>
      <c r="M217" s="6" t="s">
        <v>3056</v>
      </c>
      <c r="N217" s="7" t="str">
        <f>'[1]V, inciso p) (OP)'!X132</f>
        <v>ETT9302049B2</v>
      </c>
      <c r="O217" s="11">
        <f t="shared" si="6"/>
        <v>7998190.21</v>
      </c>
      <c r="P217" s="11">
        <v>7356024.7000000011</v>
      </c>
      <c r="Q217" s="7" t="s">
        <v>577</v>
      </c>
      <c r="R217" s="11">
        <f>O217/10786</f>
        <v>741.53441590951229</v>
      </c>
      <c r="S217" s="7" t="s">
        <v>41</v>
      </c>
      <c r="T217" s="12">
        <v>21536</v>
      </c>
      <c r="U217" s="13" t="s">
        <v>42</v>
      </c>
      <c r="V217" s="7" t="s">
        <v>43</v>
      </c>
      <c r="W217" s="10">
        <f>'[1]V, inciso p) (OP)'!AM132</f>
        <v>42730</v>
      </c>
      <c r="X217" s="10">
        <f>'[1]V, inciso p) (OP)'!AN132</f>
        <v>42850</v>
      </c>
      <c r="Y217" s="7" t="s">
        <v>542</v>
      </c>
      <c r="Z217" s="7" t="s">
        <v>543</v>
      </c>
      <c r="AA217" s="7" t="s">
        <v>144</v>
      </c>
      <c r="AB217" s="21" t="s">
        <v>1448</v>
      </c>
      <c r="AC217" s="6" t="s">
        <v>2438</v>
      </c>
      <c r="AD217" s="6"/>
    </row>
    <row r="218" spans="1:30" ht="69.95" customHeight="1">
      <c r="A218" s="34">
        <v>207</v>
      </c>
      <c r="B218" s="7">
        <v>2016</v>
      </c>
      <c r="C218" s="6" t="s">
        <v>139</v>
      </c>
      <c r="D218" s="6" t="str">
        <f>'[1]V, inciso p) (OP)'!D133</f>
        <v>DOPI-MUN-RM-ID-CI-207-2016</v>
      </c>
      <c r="E218" s="10">
        <f>'[1]V, inciso p) (OP)'!AD133</f>
        <v>42727</v>
      </c>
      <c r="F218" s="6" t="str">
        <f>'[1]V, inciso p) (OP)'!AL133</f>
        <v>Rehabilitación de las instalaciones y equipamiento deportivo de la Unidad Deportiva Villas de Guadalupe, municipio de Zapopan, Jalisco.</v>
      </c>
      <c r="G218" s="6" t="s">
        <v>63</v>
      </c>
      <c r="H218" s="38">
        <f>7900442.76+1878899.52</f>
        <v>9779342.2799999993</v>
      </c>
      <c r="I218" s="6" t="str">
        <f>'[1]V, inciso p) (OP)'!AS133</f>
        <v>Colonia Villa de Guadalupe</v>
      </c>
      <c r="J218" s="6" t="str">
        <f>'[1]V, inciso p) (OP)'!T133</f>
        <v xml:space="preserve">Leobardo </v>
      </c>
      <c r="K218" s="7" t="str">
        <f>'[1]V, inciso p) (OP)'!U133</f>
        <v>Preciado</v>
      </c>
      <c r="L218" s="7" t="str">
        <f>'[1]V, inciso p) (OP)'!V133</f>
        <v>Zepeda</v>
      </c>
      <c r="M218" s="6" t="s">
        <v>3004</v>
      </c>
      <c r="N218" s="7" t="str">
        <f>'[1]V, inciso p) (OP)'!X133</f>
        <v>CCA971126QC9</v>
      </c>
      <c r="O218" s="11">
        <f t="shared" si="6"/>
        <v>9779342.2799999993</v>
      </c>
      <c r="P218" s="11">
        <v>9779341.379999999</v>
      </c>
      <c r="Q218" s="7" t="s">
        <v>578</v>
      </c>
      <c r="R218" s="11">
        <f>O218/4585</f>
        <v>2132.8990796074154</v>
      </c>
      <c r="S218" s="7" t="s">
        <v>41</v>
      </c>
      <c r="T218" s="12">
        <v>12558</v>
      </c>
      <c r="U218" s="13" t="s">
        <v>42</v>
      </c>
      <c r="V218" s="43" t="s">
        <v>43</v>
      </c>
      <c r="W218" s="10">
        <f>'[1]V, inciso p) (OP)'!AM133</f>
        <v>42730</v>
      </c>
      <c r="X218" s="10">
        <f>'[1]V, inciso p) (OP)'!AN133</f>
        <v>42850</v>
      </c>
      <c r="Y218" s="7" t="s">
        <v>431</v>
      </c>
      <c r="Z218" s="7" t="s">
        <v>181</v>
      </c>
      <c r="AA218" s="7" t="s">
        <v>89</v>
      </c>
      <c r="AB218" s="21" t="s">
        <v>1512</v>
      </c>
      <c r="AC218" s="6" t="s">
        <v>2438</v>
      </c>
      <c r="AD218" s="6"/>
    </row>
    <row r="219" spans="1:30" ht="69.95" customHeight="1">
      <c r="A219" s="34">
        <v>208</v>
      </c>
      <c r="B219" s="7">
        <v>2016</v>
      </c>
      <c r="C219" s="6" t="s">
        <v>139</v>
      </c>
      <c r="D219" s="6" t="str">
        <f>'[1]V, inciso p) (OP)'!D134</f>
        <v>DOPI-MUN-RM-ID-CI-208-2016</v>
      </c>
      <c r="E219" s="10">
        <f>'[1]V, inciso p) (OP)'!AD134</f>
        <v>42727</v>
      </c>
      <c r="F219" s="6" t="str">
        <f>'[1]V, inciso p) (OP)'!AL134</f>
        <v>Rehabilitación de las instalaciones y equipamiento deportivo de la Unidad Deportiva Santa Margarita, municipio de Zapopan, Jalisco.</v>
      </c>
      <c r="G219" s="6" t="s">
        <v>63</v>
      </c>
      <c r="H219" s="39">
        <v>9915582.3300000001</v>
      </c>
      <c r="I219" s="6" t="str">
        <f>'[1]V, inciso p) (OP)'!AS134</f>
        <v>Colonia Santa Margarita</v>
      </c>
      <c r="J219" s="6" t="str">
        <f>'[1]V, inciso p) (OP)'!T134</f>
        <v>David</v>
      </c>
      <c r="K219" s="7" t="str">
        <f>'[1]V, inciso p) (OP)'!U134</f>
        <v>Hernández</v>
      </c>
      <c r="L219" s="7" t="str">
        <f>'[1]V, inciso p) (OP)'!V134</f>
        <v>Flores</v>
      </c>
      <c r="M219" s="6" t="s">
        <v>3057</v>
      </c>
      <c r="N219" s="7" t="str">
        <f>'[1]V, inciso p) (OP)'!X134</f>
        <v>CSS8303089S9</v>
      </c>
      <c r="O219" s="11">
        <f t="shared" si="6"/>
        <v>9915582.3300000001</v>
      </c>
      <c r="P219" s="11">
        <v>9560147.4000000004</v>
      </c>
      <c r="Q219" s="7" t="s">
        <v>579</v>
      </c>
      <c r="R219" s="11">
        <f>O219/12433</f>
        <v>797.52130057106092</v>
      </c>
      <c r="S219" s="7" t="s">
        <v>41</v>
      </c>
      <c r="T219" s="12">
        <v>38995</v>
      </c>
      <c r="U219" s="13" t="s">
        <v>42</v>
      </c>
      <c r="V219" s="7" t="s">
        <v>43</v>
      </c>
      <c r="W219" s="10">
        <f>'[1]V, inciso p) (OP)'!AM134</f>
        <v>42730</v>
      </c>
      <c r="X219" s="10">
        <f>'[1]V, inciso p) (OP)'!AN134</f>
        <v>42850</v>
      </c>
      <c r="Y219" s="7" t="s">
        <v>431</v>
      </c>
      <c r="Z219" s="7" t="s">
        <v>181</v>
      </c>
      <c r="AA219" s="7" t="s">
        <v>89</v>
      </c>
      <c r="AB219" s="21" t="s">
        <v>1449</v>
      </c>
      <c r="AC219" s="6" t="s">
        <v>2438</v>
      </c>
      <c r="AD219" s="6"/>
    </row>
    <row r="220" spans="1:30" ht="69.95" customHeight="1">
      <c r="A220" s="34">
        <v>209</v>
      </c>
      <c r="B220" s="7">
        <v>2016</v>
      </c>
      <c r="C220" s="6" t="s">
        <v>139</v>
      </c>
      <c r="D220" s="6" t="str">
        <f>'[1]V, inciso p) (OP)'!D135</f>
        <v>DOPI-MUN-RM-PAV-CI-209-2016</v>
      </c>
      <c r="E220" s="10">
        <f>'[1]V, inciso p) (OP)'!AD135</f>
        <v>42727</v>
      </c>
      <c r="F220" s="6" t="str">
        <f>'[1]V, inciso p) (OP)'!AL135</f>
        <v>Construcción de pavimento de concreto hidráulico MR-45 y jardinería, en la Glorieta Venustiano Carranza en la colonia Constitución, municipio de Zapopan, Jalisco</v>
      </c>
      <c r="G220" s="6" t="s">
        <v>3308</v>
      </c>
      <c r="H220" s="39">
        <v>5570941.0800000001</v>
      </c>
      <c r="I220" s="6" t="str">
        <f>'[1]V, inciso p) (OP)'!AS135</f>
        <v>Colonia Constitución</v>
      </c>
      <c r="J220" s="6" t="str">
        <f>'[1]V, inciso p) (OP)'!T135</f>
        <v>Jorge Alfredo</v>
      </c>
      <c r="K220" s="7" t="str">
        <f>'[1]V, inciso p) (OP)'!U135</f>
        <v>Ochoa</v>
      </c>
      <c r="L220" s="7" t="str">
        <f>'[1]V, inciso p) (OP)'!V135</f>
        <v>González</v>
      </c>
      <c r="M220" s="6" t="s">
        <v>3058</v>
      </c>
      <c r="N220" s="7" t="str">
        <f>'[1]V, inciso p) (OP)'!X135</f>
        <v>AED890925181</v>
      </c>
      <c r="O220" s="11">
        <f t="shared" si="6"/>
        <v>5570941.0800000001</v>
      </c>
      <c r="P220" s="11">
        <v>5406897.1899999995</v>
      </c>
      <c r="Q220" s="7" t="s">
        <v>580</v>
      </c>
      <c r="R220" s="11">
        <f>O220/3911.58</f>
        <v>1424.2176000490851</v>
      </c>
      <c r="S220" s="7" t="s">
        <v>41</v>
      </c>
      <c r="T220" s="12">
        <v>98745</v>
      </c>
      <c r="U220" s="13" t="s">
        <v>42</v>
      </c>
      <c r="V220" s="7" t="s">
        <v>43</v>
      </c>
      <c r="W220" s="10">
        <f>'[1]V, inciso p) (OP)'!AM135</f>
        <v>42730</v>
      </c>
      <c r="X220" s="10">
        <f>'[1]V, inciso p) (OP)'!AN135</f>
        <v>42762</v>
      </c>
      <c r="Y220" s="7" t="s">
        <v>411</v>
      </c>
      <c r="Z220" s="7" t="s">
        <v>412</v>
      </c>
      <c r="AA220" s="7" t="s">
        <v>413</v>
      </c>
      <c r="AB220" s="21" t="s">
        <v>1450</v>
      </c>
      <c r="AC220" s="6" t="s">
        <v>2438</v>
      </c>
      <c r="AD220" s="6"/>
    </row>
    <row r="221" spans="1:30" ht="69.95" customHeight="1">
      <c r="A221" s="34">
        <v>210</v>
      </c>
      <c r="B221" s="7">
        <v>2016</v>
      </c>
      <c r="C221" s="6" t="s">
        <v>139</v>
      </c>
      <c r="D221" s="6" t="str">
        <f>'[1]V, inciso p) (OP)'!D136</f>
        <v>DOPI-MUN-RM-PAV-CI-210-2016</v>
      </c>
      <c r="E221" s="10">
        <f>'[1]V, inciso p) (OP)'!AD136</f>
        <v>42727</v>
      </c>
      <c r="F221" s="32" t="str">
        <f>'[1]V, inciso p) (OP)'!AL136</f>
        <v>Construcción de pavimento de concreto hidráulico, red de agua potable, alcantarillado sanitario, alumbrado público, banquetas, señalamiento vertical y horizontal, de la Prol. Laureles de Av. Del Rodeo a Periférico Norte Manuel Gómez Morín, municipio de Zapopan, Jalisco.</v>
      </c>
      <c r="G221" s="6" t="s">
        <v>3308</v>
      </c>
      <c r="H221" s="39">
        <v>7995338.8700000001</v>
      </c>
      <c r="I221" s="6" t="str">
        <f>'[1]V, inciso p) (OP)'!AS136</f>
        <v>Colonia Belenes Norte</v>
      </c>
      <c r="J221" s="6" t="str">
        <f>'[1]V, inciso p) (OP)'!T136</f>
        <v>Elvia Alejandra</v>
      </c>
      <c r="K221" s="7" t="str">
        <f>'[1]V, inciso p) (OP)'!U136</f>
        <v>Torres</v>
      </c>
      <c r="L221" s="7" t="str">
        <f>'[1]V, inciso p) (OP)'!V136</f>
        <v>Villa</v>
      </c>
      <c r="M221" s="6" t="s">
        <v>3059</v>
      </c>
      <c r="N221" s="7" t="str">
        <f>'[1]V, inciso p) (OP)'!X136</f>
        <v>PRO0205208F2</v>
      </c>
      <c r="O221" s="11">
        <f t="shared" si="6"/>
        <v>7995338.8700000001</v>
      </c>
      <c r="P221" s="11">
        <v>7431016.5299999993</v>
      </c>
      <c r="Q221" s="7" t="s">
        <v>581</v>
      </c>
      <c r="R221" s="11">
        <f>O221/6300</f>
        <v>1269.1014079365079</v>
      </c>
      <c r="S221" s="7" t="s">
        <v>41</v>
      </c>
      <c r="T221" s="12">
        <v>31566</v>
      </c>
      <c r="U221" s="13" t="s">
        <v>42</v>
      </c>
      <c r="V221" s="7" t="s">
        <v>43</v>
      </c>
      <c r="W221" s="10">
        <f>'[1]V, inciso p) (OP)'!AM136</f>
        <v>42730</v>
      </c>
      <c r="X221" s="10">
        <f>'[1]V, inciso p) (OP)'!AN136</f>
        <v>42820</v>
      </c>
      <c r="Y221" s="7" t="s">
        <v>582</v>
      </c>
      <c r="Z221" s="7" t="s">
        <v>583</v>
      </c>
      <c r="AA221" s="7" t="s">
        <v>253</v>
      </c>
      <c r="AB221" s="21" t="s">
        <v>1451</v>
      </c>
      <c r="AC221" s="6" t="s">
        <v>2438</v>
      </c>
      <c r="AD221" s="6"/>
    </row>
    <row r="222" spans="1:30" ht="69.95" customHeight="1">
      <c r="A222" s="34">
        <v>211</v>
      </c>
      <c r="B222" s="7">
        <v>2016</v>
      </c>
      <c r="C222" s="6" t="s">
        <v>139</v>
      </c>
      <c r="D222" s="6" t="str">
        <f>'[1]V, inciso p) (OP)'!D137</f>
        <v>DOPI-MUN-RM-AP-CI-211-2016</v>
      </c>
      <c r="E222" s="10">
        <f>'[1]V, inciso p) (OP)'!AD137</f>
        <v>42727</v>
      </c>
      <c r="F222" s="6" t="str">
        <f>'[1]V, inciso p) (OP)'!AL137</f>
        <v>Construcción de línea de agua potable, drenaje sanitario, preparación para instalaciones de Telmex y CFE, pozos de absorción, en la Glorieta Venustiano Carranza en la colonia Constitución, municipio de Zapopan, Jalisco</v>
      </c>
      <c r="G222" s="6" t="s">
        <v>3308</v>
      </c>
      <c r="H222" s="39">
        <v>2591650.5499999998</v>
      </c>
      <c r="I222" s="6" t="str">
        <f>'[1]V, inciso p) (OP)'!AS137</f>
        <v>Colonia Constitución</v>
      </c>
      <c r="J222" s="6" t="str">
        <f>'[1]V, inciso p) (OP)'!T137</f>
        <v>Rosalba Edilia</v>
      </c>
      <c r="K222" s="7" t="str">
        <f>'[1]V, inciso p) (OP)'!U137</f>
        <v>Sandoval</v>
      </c>
      <c r="L222" s="7" t="str">
        <f>'[1]V, inciso p) (OP)'!V137</f>
        <v>Huizar</v>
      </c>
      <c r="M222" s="6" t="s">
        <v>210</v>
      </c>
      <c r="N222" s="7" t="str">
        <f>'[1]V, inciso p) (OP)'!X137</f>
        <v>ISM0112209Y5</v>
      </c>
      <c r="O222" s="11">
        <f t="shared" si="6"/>
        <v>2591650.5499999998</v>
      </c>
      <c r="P222" s="11">
        <v>2529130.69</v>
      </c>
      <c r="Q222" s="7" t="s">
        <v>584</v>
      </c>
      <c r="R222" s="11">
        <f>O222/671.12</f>
        <v>3861.6798039098817</v>
      </c>
      <c r="S222" s="7" t="s">
        <v>41</v>
      </c>
      <c r="T222" s="12">
        <v>2569</v>
      </c>
      <c r="U222" s="13" t="s">
        <v>42</v>
      </c>
      <c r="V222" s="7" t="s">
        <v>43</v>
      </c>
      <c r="W222" s="10">
        <f>'[1]V, inciso p) (OP)'!AM137</f>
        <v>42730</v>
      </c>
      <c r="X222" s="10">
        <f>'[1]V, inciso p) (OP)'!AN137</f>
        <v>42760</v>
      </c>
      <c r="Y222" s="7" t="s">
        <v>411</v>
      </c>
      <c r="Z222" s="7" t="s">
        <v>412</v>
      </c>
      <c r="AA222" s="7" t="s">
        <v>413</v>
      </c>
      <c r="AB222" s="21" t="s">
        <v>1513</v>
      </c>
      <c r="AC222" s="6" t="s">
        <v>2438</v>
      </c>
      <c r="AD222" s="6"/>
    </row>
    <row r="223" spans="1:30" ht="69.95" customHeight="1">
      <c r="A223" s="34">
        <v>212</v>
      </c>
      <c r="B223" s="7">
        <v>2016</v>
      </c>
      <c r="C223" s="6" t="s">
        <v>62</v>
      </c>
      <c r="D223" s="6" t="str">
        <f>'[1]V, inciso o) (OP)'!C93</f>
        <v>DOPI-MUN-RM-AP-AD-212-2016</v>
      </c>
      <c r="E223" s="10">
        <f>'[1]V, inciso o) (OP)'!V93</f>
        <v>42653</v>
      </c>
      <c r="F223" s="6" t="str">
        <f>'[1]V, inciso o) (OP)'!AA93</f>
        <v>Construcción de linea de agua potable, drenaje sanitario y linea de alejamiento en la calle La grana y calle Rastro, en la colonia San Isidro, municipio de Zapopan, Jalisco.</v>
      </c>
      <c r="G223" s="6" t="s">
        <v>3308</v>
      </c>
      <c r="H223" s="39">
        <v>1498750.44</v>
      </c>
      <c r="I223" s="6" t="s">
        <v>585</v>
      </c>
      <c r="J223" s="6" t="str">
        <f>'[1]V, inciso o) (OP)'!M93</f>
        <v xml:space="preserve">HECTOR DAVID </v>
      </c>
      <c r="K223" s="7" t="str">
        <f>'[1]V, inciso o) (OP)'!N93</f>
        <v>ROBLES</v>
      </c>
      <c r="L223" s="7" t="str">
        <f>'[1]V, inciso o) (OP)'!O93</f>
        <v>ROBLES</v>
      </c>
      <c r="M223" s="6" t="s">
        <v>3060</v>
      </c>
      <c r="N223" s="7" t="str">
        <f>'[1]V, inciso o) (OP)'!Q93</f>
        <v>EDS001103AJ2</v>
      </c>
      <c r="O223" s="11">
        <f>'[1]V, inciso o) (OP)'!Y93</f>
        <v>1498750.44</v>
      </c>
      <c r="P223" s="11">
        <v>945921.84000000008</v>
      </c>
      <c r="Q223" s="7" t="s">
        <v>586</v>
      </c>
      <c r="R223" s="11">
        <f>O223/132</f>
        <v>11354.17</v>
      </c>
      <c r="S223" s="7" t="s">
        <v>41</v>
      </c>
      <c r="T223" s="12">
        <v>865</v>
      </c>
      <c r="U223" s="13" t="s">
        <v>42</v>
      </c>
      <c r="V223" s="7" t="s">
        <v>43</v>
      </c>
      <c r="W223" s="10">
        <f>'[1]V, inciso o) (OP)'!AD93</f>
        <v>42654</v>
      </c>
      <c r="X223" s="10">
        <f>'[1]V, inciso o) (OP)'!AE93</f>
        <v>42698</v>
      </c>
      <c r="Y223" s="7" t="s">
        <v>501</v>
      </c>
      <c r="Z223" s="7" t="s">
        <v>587</v>
      </c>
      <c r="AA223" s="7" t="s">
        <v>503</v>
      </c>
      <c r="AB223" s="21" t="s">
        <v>1397</v>
      </c>
      <c r="AC223" s="6" t="s">
        <v>2438</v>
      </c>
      <c r="AD223" s="6"/>
    </row>
    <row r="224" spans="1:30" ht="69.95" customHeight="1">
      <c r="A224" s="34">
        <v>213</v>
      </c>
      <c r="B224" s="7">
        <v>2016</v>
      </c>
      <c r="C224" s="6" t="s">
        <v>62</v>
      </c>
      <c r="D224" s="6" t="str">
        <f>'[1]V, inciso o) (OP)'!C94</f>
        <v>DOPI-MUN-RM-IM-AD-213-2016</v>
      </c>
      <c r="E224" s="10">
        <f>'[1]V, inciso o) (OP)'!V94</f>
        <v>42647</v>
      </c>
      <c r="F224" s="6" t="str">
        <f>'[1]V, inciso o) (OP)'!AA94</f>
        <v>Suministro e instalación de piso de danza flotado de duela de Maple en el escenario del auditorio del Centro Cultural Constitución, ,municipio de Zapopan, Jalisco.</v>
      </c>
      <c r="G224" s="6" t="s">
        <v>3308</v>
      </c>
      <c r="H224" s="39">
        <v>932552.22</v>
      </c>
      <c r="I224" s="6" t="s">
        <v>468</v>
      </c>
      <c r="J224" s="6" t="str">
        <f>'[1]V, inciso o) (OP)'!M94</f>
        <v>NORMA FABIOLA</v>
      </c>
      <c r="K224" s="7" t="str">
        <f>'[1]V, inciso o) (OP)'!N94</f>
        <v>RODRIGUEZ</v>
      </c>
      <c r="L224" s="7" t="str">
        <f>'[1]V, inciso o) (OP)'!O94</f>
        <v>CASTILLO</v>
      </c>
      <c r="M224" s="6" t="s">
        <v>3061</v>
      </c>
      <c r="N224" s="7" t="str">
        <f>'[1]V, inciso o) (OP)'!Q94</f>
        <v>PUR071001L23</v>
      </c>
      <c r="O224" s="11">
        <f>'[1]V, inciso o) (OP)'!Y94</f>
        <v>932552.22</v>
      </c>
      <c r="P224" s="11">
        <v>922144.73</v>
      </c>
      <c r="Q224" s="7" t="s">
        <v>588</v>
      </c>
      <c r="R224" s="11">
        <f>O224/426</f>
        <v>2189.0897183098591</v>
      </c>
      <c r="S224" s="7" t="s">
        <v>41</v>
      </c>
      <c r="T224" s="12">
        <v>350</v>
      </c>
      <c r="U224" s="13" t="s">
        <v>42</v>
      </c>
      <c r="V224" s="7" t="s">
        <v>43</v>
      </c>
      <c r="W224" s="10">
        <f>'[1]V, inciso o) (OP)'!AD94</f>
        <v>42648</v>
      </c>
      <c r="X224" s="10">
        <f>'[1]V, inciso o) (OP)'!AE94</f>
        <v>42677</v>
      </c>
      <c r="Y224" s="7" t="s">
        <v>411</v>
      </c>
      <c r="Z224" s="7" t="s">
        <v>412</v>
      </c>
      <c r="AA224" s="7" t="s">
        <v>413</v>
      </c>
      <c r="AB224" s="21" t="s">
        <v>1452</v>
      </c>
      <c r="AC224" s="6" t="s">
        <v>2438</v>
      </c>
      <c r="AD224" s="6"/>
    </row>
    <row r="225" spans="1:30" ht="69.95" customHeight="1">
      <c r="A225" s="34">
        <v>214</v>
      </c>
      <c r="B225" s="7">
        <v>2016</v>
      </c>
      <c r="C225" s="6" t="s">
        <v>589</v>
      </c>
      <c r="D225" s="6" t="str">
        <f>'[1]V, inciso p) (OP)'!D138</f>
        <v>DOPI-FED-HAB-PAV-CI-214-2016</v>
      </c>
      <c r="E225" s="10">
        <f>'[1]V, inciso p) (OP)'!AD138</f>
        <v>42717</v>
      </c>
      <c r="F225" s="6" t="str">
        <f>'[1]V, inciso p) (OP)'!AL138</f>
        <v>Pavimentación de concreto hidráulico en la calle Casiano Torres Poniente, municipio de Zapopan, Jalisco.</v>
      </c>
      <c r="G225" s="6" t="s">
        <v>3321</v>
      </c>
      <c r="H225" s="39">
        <v>6282745.2800000003</v>
      </c>
      <c r="I225" s="6" t="str">
        <f>'[1]V, inciso p) (OP)'!AS138</f>
        <v>Colonia Vista Hermosa</v>
      </c>
      <c r="J225" s="6" t="str">
        <f>'[1]V, inciso p) (OP)'!T138</f>
        <v>Miguel Ángel</v>
      </c>
      <c r="K225" s="7" t="str">
        <f>'[1]V, inciso p) (OP)'!U138</f>
        <v>Romero</v>
      </c>
      <c r="L225" s="7" t="str">
        <f>'[1]V, inciso p) (OP)'!V138</f>
        <v>Lugo</v>
      </c>
      <c r="M225" s="6" t="s">
        <v>342</v>
      </c>
      <c r="N225" s="7" t="str">
        <f>'[1]V, inciso p) (OP)'!X138</f>
        <v>OCC940714PB0</v>
      </c>
      <c r="O225" s="11">
        <f>'[1]V, inciso p) (OP)'!AG138</f>
        <v>6282745.2800000003</v>
      </c>
      <c r="P225" s="11">
        <v>5968941.4000000004</v>
      </c>
      <c r="Q225" s="7" t="s">
        <v>590</v>
      </c>
      <c r="R225" s="11">
        <f>O225/3200</f>
        <v>1963.3579</v>
      </c>
      <c r="S225" s="7" t="s">
        <v>41</v>
      </c>
      <c r="T225" s="12">
        <v>1255</v>
      </c>
      <c r="U225" s="13" t="s">
        <v>42</v>
      </c>
      <c r="V225" s="7" t="s">
        <v>43</v>
      </c>
      <c r="W225" s="10">
        <f>'[1]V, inciso p) (OP)'!AM138</f>
        <v>42718</v>
      </c>
      <c r="X225" s="10">
        <f>'[1]V, inciso p) (OP)'!AN138</f>
        <v>42735</v>
      </c>
      <c r="Y225" s="7" t="s">
        <v>345</v>
      </c>
      <c r="Z225" s="7" t="s">
        <v>346</v>
      </c>
      <c r="AA225" s="7" t="s">
        <v>347</v>
      </c>
      <c r="AB225" s="21" t="s">
        <v>1514</v>
      </c>
      <c r="AC225" s="6" t="s">
        <v>2438</v>
      </c>
      <c r="AD225" s="6"/>
    </row>
    <row r="226" spans="1:30" ht="69.95" customHeight="1">
      <c r="A226" s="34">
        <v>215</v>
      </c>
      <c r="B226" s="7">
        <v>2016</v>
      </c>
      <c r="C226" s="6" t="s">
        <v>62</v>
      </c>
      <c r="D226" s="6" t="str">
        <f>'[1]V, inciso o) (OP)'!C95</f>
        <v>DOPI-MUN-RM-PROY-AD-215-2016</v>
      </c>
      <c r="E226" s="10">
        <f>'[1]V, inciso o) (OP)'!V95</f>
        <v>42657</v>
      </c>
      <c r="F226" s="6" t="str">
        <f>'[1]V, inciso o) (OP)'!AA95</f>
        <v>Estudios básicos topográficos para diferentes obras 2016, segunda etapa, del municipio de Zapopan, Jalisco.</v>
      </c>
      <c r="G226" s="6" t="s">
        <v>3308</v>
      </c>
      <c r="H226" s="39">
        <v>1350125.87</v>
      </c>
      <c r="I226" s="6" t="s">
        <v>1317</v>
      </c>
      <c r="J226" s="6" t="str">
        <f>'[1]V, inciso o) (OP)'!M95</f>
        <v>LUIS ERNESTO</v>
      </c>
      <c r="K226" s="7" t="str">
        <f>'[1]V, inciso o) (OP)'!N95</f>
        <v>GONZALEZ</v>
      </c>
      <c r="L226" s="7" t="str">
        <f>'[1]V, inciso o) (OP)'!O95</f>
        <v>LOZANO</v>
      </c>
      <c r="M226" s="6" t="s">
        <v>3062</v>
      </c>
      <c r="N226" s="7" t="str">
        <f>'[1]V, inciso o) (OP)'!Q95</f>
        <v>TIN04100824A</v>
      </c>
      <c r="O226" s="11">
        <f>'[1]V, inciso o) (OP)'!Y95</f>
        <v>1350125.87</v>
      </c>
      <c r="P226" s="11">
        <v>1350125.865</v>
      </c>
      <c r="Q226" s="7" t="s">
        <v>591</v>
      </c>
      <c r="R226" s="11">
        <f>O226/796102</f>
        <v>1.6959207111651524</v>
      </c>
      <c r="S226" s="7" t="s">
        <v>121</v>
      </c>
      <c r="T226" s="12" t="s">
        <v>121</v>
      </c>
      <c r="U226" s="13" t="s">
        <v>42</v>
      </c>
      <c r="V226" s="7" t="s">
        <v>43</v>
      </c>
      <c r="W226" s="10">
        <f>'[1]V, inciso o) (OP)'!AD95</f>
        <v>42660</v>
      </c>
      <c r="X226" s="10">
        <f>'[1]V, inciso o) (OP)'!AE95</f>
        <v>42735</v>
      </c>
      <c r="Y226" s="7" t="s">
        <v>358</v>
      </c>
      <c r="Z226" s="7" t="s">
        <v>592</v>
      </c>
      <c r="AA226" s="7" t="s">
        <v>135</v>
      </c>
      <c r="AB226" s="21" t="s">
        <v>1453</v>
      </c>
      <c r="AC226" s="6" t="s">
        <v>2438</v>
      </c>
      <c r="AD226" s="6"/>
    </row>
    <row r="227" spans="1:30" ht="69.95" customHeight="1">
      <c r="A227" s="34">
        <v>216</v>
      </c>
      <c r="B227" s="7">
        <v>2016</v>
      </c>
      <c r="C227" s="6" t="s">
        <v>62</v>
      </c>
      <c r="D227" s="6" t="str">
        <f>'[1]V, inciso o) (OP)'!C96</f>
        <v>DOPI-MUN-RM-PAV-AD-216-2016</v>
      </c>
      <c r="E227" s="10">
        <f>'[1]V, inciso o) (OP)'!V96</f>
        <v>42674</v>
      </c>
      <c r="F227" s="6" t="str">
        <f>'[1]V, inciso o) (OP)'!AA96</f>
        <v>Programa emergente de bacheo de vialidades en Zapopan Norte, tramo 3, municipio de Zapopan, Jalisco.</v>
      </c>
      <c r="G227" s="6" t="s">
        <v>3308</v>
      </c>
      <c r="H227" s="39">
        <v>1492596.99</v>
      </c>
      <c r="I227" s="6" t="s">
        <v>1317</v>
      </c>
      <c r="J227" s="6" t="str">
        <f>'[1]V, inciso o) (OP)'!M96</f>
        <v>ESPERANZA</v>
      </c>
      <c r="K227" s="7" t="str">
        <f>'[1]V, inciso o) (OP)'!N96</f>
        <v>CORONA</v>
      </c>
      <c r="L227" s="7" t="str">
        <f>'[1]V, inciso o) (OP)'!O96</f>
        <v>JUAREZ</v>
      </c>
      <c r="M227" s="6" t="s">
        <v>3063</v>
      </c>
      <c r="N227" s="7" t="str">
        <f>'[1]V, inciso o) (OP)'!Q96</f>
        <v>ISA071206P64</v>
      </c>
      <c r="O227" s="11">
        <f>'[1]V, inciso o) (OP)'!Y96</f>
        <v>1492596.99</v>
      </c>
      <c r="P227" s="11">
        <v>1492596.98</v>
      </c>
      <c r="Q227" s="7" t="s">
        <v>593</v>
      </c>
      <c r="R227" s="11">
        <f>O227/8510</f>
        <v>175.39330082256168</v>
      </c>
      <c r="S227" s="7" t="s">
        <v>41</v>
      </c>
      <c r="T227" s="12">
        <v>215000</v>
      </c>
      <c r="U227" s="13" t="s">
        <v>42</v>
      </c>
      <c r="V227" s="7" t="s">
        <v>43</v>
      </c>
      <c r="W227" s="10">
        <f>'[1]V, inciso o) (OP)'!AD96</f>
        <v>42675</v>
      </c>
      <c r="X227" s="10">
        <f>'[1]V, inciso o) (OP)'!AE96</f>
        <v>42734</v>
      </c>
      <c r="Y227" s="7" t="s">
        <v>521</v>
      </c>
      <c r="Z227" s="7" t="s">
        <v>522</v>
      </c>
      <c r="AA227" s="7" t="s">
        <v>523</v>
      </c>
      <c r="AB227" s="21" t="s">
        <v>1515</v>
      </c>
      <c r="AC227" s="6" t="s">
        <v>2438</v>
      </c>
      <c r="AD227" s="6"/>
    </row>
    <row r="228" spans="1:30" ht="69.95" customHeight="1">
      <c r="A228" s="34">
        <v>217</v>
      </c>
      <c r="B228" s="7">
        <v>2016</v>
      </c>
      <c r="C228" s="6" t="s">
        <v>62</v>
      </c>
      <c r="D228" s="6" t="str">
        <f>'[1]V, inciso o) (OP)'!C97</f>
        <v>DOPI-MUN-RM-IM-AD-217-2016</v>
      </c>
      <c r="E228" s="10">
        <f>'[1]V, inciso o) (OP)'!V97</f>
        <v>42657</v>
      </c>
      <c r="F228" s="6" t="str">
        <f>'[1]V, inciso o) (OP)'!AA97</f>
        <v>Construcción de modulo de sanitarios, en el Panteón de Santa  Ana Tepetitlan, municipio de Zapopan, Jalisco.</v>
      </c>
      <c r="G228" s="6" t="s">
        <v>3308</v>
      </c>
      <c r="H228" s="39">
        <v>950216.14</v>
      </c>
      <c r="I228" s="6" t="s">
        <v>276</v>
      </c>
      <c r="J228" s="6" t="str">
        <f>'[1]V, inciso o) (OP)'!M97</f>
        <v xml:space="preserve">RAFAEL </v>
      </c>
      <c r="K228" s="7" t="str">
        <f>'[1]V, inciso o) (OP)'!N97</f>
        <v>OROZCO</v>
      </c>
      <c r="L228" s="7" t="str">
        <f>'[1]V, inciso o) (OP)'!O97</f>
        <v>MARTINEZ</v>
      </c>
      <c r="M228" s="6" t="s">
        <v>2156</v>
      </c>
      <c r="N228" s="7" t="str">
        <f>'[1]V, inciso o) (OP)'!Q97</f>
        <v>CCO020123366</v>
      </c>
      <c r="O228" s="11">
        <f>'[1]V, inciso o) (OP)'!Y97</f>
        <v>950216.14</v>
      </c>
      <c r="P228" s="11">
        <v>866232.4800000001</v>
      </c>
      <c r="Q228" s="7" t="s">
        <v>594</v>
      </c>
      <c r="R228" s="11">
        <f>O228/115</f>
        <v>8262.7490434782612</v>
      </c>
      <c r="S228" s="7" t="s">
        <v>41</v>
      </c>
      <c r="T228" s="12">
        <v>24800</v>
      </c>
      <c r="U228" s="13" t="s">
        <v>42</v>
      </c>
      <c r="V228" s="7" t="s">
        <v>43</v>
      </c>
      <c r="W228" s="10">
        <f>'[1]V, inciso o) (OP)'!AD97</f>
        <v>42660</v>
      </c>
      <c r="X228" s="10">
        <f>'[1]V, inciso o) (OP)'!AE97</f>
        <v>42714</v>
      </c>
      <c r="Y228" s="7" t="s">
        <v>323</v>
      </c>
      <c r="Z228" s="7" t="s">
        <v>231</v>
      </c>
      <c r="AA228" s="7" t="s">
        <v>143</v>
      </c>
      <c r="AB228" s="21" t="s">
        <v>1516</v>
      </c>
      <c r="AC228" s="6" t="s">
        <v>2438</v>
      </c>
      <c r="AD228" s="6"/>
    </row>
    <row r="229" spans="1:30" ht="69.95" customHeight="1">
      <c r="A229" s="34">
        <v>218</v>
      </c>
      <c r="B229" s="7">
        <v>2016</v>
      </c>
      <c r="C229" s="6" t="s">
        <v>62</v>
      </c>
      <c r="D229" s="6" t="str">
        <f>'[1]V, inciso o) (OP)'!C98</f>
        <v>DOPI-MUN-RM-PAV-AD-218-2016</v>
      </c>
      <c r="E229" s="10">
        <f>'[1]V, inciso o) (OP)'!V98</f>
        <v>42664</v>
      </c>
      <c r="F229" s="6" t="str">
        <f>'[1]V, inciso o) (OP)'!AA98</f>
        <v>Construcción de pavimento de concreto hidráulico en la calle La Grana  y calle Rastro, en la colonia San Isidro, municipio de Zapopan, Jalisco.</v>
      </c>
      <c r="G229" s="6" t="s">
        <v>3308</v>
      </c>
      <c r="H229" s="39">
        <v>1494567.16</v>
      </c>
      <c r="I229" s="6" t="s">
        <v>585</v>
      </c>
      <c r="J229" s="6" t="str">
        <f>'[1]V, inciso o) (OP)'!M98</f>
        <v>SALVADOR</v>
      </c>
      <c r="K229" s="7" t="str">
        <f>'[1]V, inciso o) (OP)'!N98</f>
        <v>CASTRO</v>
      </c>
      <c r="L229" s="7" t="str">
        <f>'[1]V, inciso o) (OP)'!O98</f>
        <v>GUZMAN</v>
      </c>
      <c r="M229" s="6" t="s">
        <v>3064</v>
      </c>
      <c r="N229" s="7" t="str">
        <f>'[1]V, inciso o) (OP)'!Q98</f>
        <v>GCG041213LZ9</v>
      </c>
      <c r="O229" s="11">
        <f>'[1]V, inciso o) (OP)'!Y98</f>
        <v>1494567.16</v>
      </c>
      <c r="P229" s="11">
        <v>1394409.23</v>
      </c>
      <c r="Q229" s="7" t="s">
        <v>595</v>
      </c>
      <c r="R229" s="11">
        <f>O229/1010</f>
        <v>1479.7694653465346</v>
      </c>
      <c r="S229" s="7" t="s">
        <v>41</v>
      </c>
      <c r="T229" s="12">
        <v>655</v>
      </c>
      <c r="U229" s="13" t="s">
        <v>42</v>
      </c>
      <c r="V229" s="7" t="s">
        <v>43</v>
      </c>
      <c r="W229" s="10">
        <f>'[1]V, inciso o) (OP)'!AD98</f>
        <v>42667</v>
      </c>
      <c r="X229" s="10">
        <f>'[1]V, inciso o) (OP)'!AE98</f>
        <v>42726</v>
      </c>
      <c r="Y229" s="7" t="s">
        <v>501</v>
      </c>
      <c r="Z229" s="7" t="s">
        <v>587</v>
      </c>
      <c r="AA229" s="7" t="s">
        <v>503</v>
      </c>
      <c r="AB229" s="21" t="s">
        <v>1398</v>
      </c>
      <c r="AC229" s="6" t="s">
        <v>2438</v>
      </c>
      <c r="AD229" s="6"/>
    </row>
    <row r="230" spans="1:30" ht="69.95" customHeight="1">
      <c r="A230" s="34">
        <v>219</v>
      </c>
      <c r="B230" s="7">
        <v>2016</v>
      </c>
      <c r="C230" s="6" t="s">
        <v>62</v>
      </c>
      <c r="D230" s="6" t="str">
        <f>'[1]V, inciso o) (OP)'!C99</f>
        <v>DOPI-MUN-RM-DP-AD-219-2016</v>
      </c>
      <c r="E230" s="10">
        <f>'[1]V, inciso o) (OP)'!V99</f>
        <v>42653</v>
      </c>
      <c r="F230" s="6" t="str">
        <f>'[1]V, inciso o) (OP)'!AA99</f>
        <v>Solución Pluvial en Tesistán (colector pluvial de 36" y bocas de tormenta) en la calle Jalisco, Hidalgo, Puebla, en la localidad de Tesistán, municipio de Zapopan, Jalisco. Frente 2.</v>
      </c>
      <c r="G230" s="6" t="s">
        <v>3308</v>
      </c>
      <c r="H230" s="39">
        <v>1421736.05</v>
      </c>
      <c r="I230" s="6" t="s">
        <v>553</v>
      </c>
      <c r="J230" s="6" t="str">
        <f>'[1]V, inciso o) (OP)'!M99</f>
        <v xml:space="preserve">RODOLFO </v>
      </c>
      <c r="K230" s="7" t="str">
        <f>'[1]V, inciso o) (OP)'!N99</f>
        <v xml:space="preserve">VELAZQUEZ </v>
      </c>
      <c r="L230" s="7" t="str">
        <f>'[1]V, inciso o) (OP)'!O99</f>
        <v>ORDOÑEZ</v>
      </c>
      <c r="M230" s="6" t="s">
        <v>3065</v>
      </c>
      <c r="N230" s="7" t="str">
        <f>'[1]V, inciso o) (OP)'!Q99</f>
        <v>VIE110125RL4</v>
      </c>
      <c r="O230" s="11">
        <f>'[1]V, inciso o) (OP)'!Y99</f>
        <v>1421736.05</v>
      </c>
      <c r="P230" s="11">
        <v>1415826.74</v>
      </c>
      <c r="Q230" s="7" t="s">
        <v>596</v>
      </c>
      <c r="R230" s="11">
        <f>O230/5752</f>
        <v>247.1724704450626</v>
      </c>
      <c r="S230" s="7" t="s">
        <v>41</v>
      </c>
      <c r="T230" s="12">
        <v>2460</v>
      </c>
      <c r="U230" s="13" t="s">
        <v>42</v>
      </c>
      <c r="V230" s="7" t="s">
        <v>43</v>
      </c>
      <c r="W230" s="10">
        <f>'[1]V, inciso o) (OP)'!AD99</f>
        <v>42654</v>
      </c>
      <c r="X230" s="10">
        <f>'[1]V, inciso o) (OP)'!AE99</f>
        <v>42704</v>
      </c>
      <c r="Y230" s="7" t="s">
        <v>331</v>
      </c>
      <c r="Z230" s="7" t="s">
        <v>332</v>
      </c>
      <c r="AA230" s="7" t="s">
        <v>116</v>
      </c>
      <c r="AB230" s="21" t="s">
        <v>1454</v>
      </c>
      <c r="AC230" s="6" t="s">
        <v>2438</v>
      </c>
      <c r="AD230" s="6"/>
    </row>
    <row r="231" spans="1:30" ht="69.95" customHeight="1">
      <c r="A231" s="34">
        <v>220</v>
      </c>
      <c r="B231" s="7">
        <v>2016</v>
      </c>
      <c r="C231" s="6" t="s">
        <v>62</v>
      </c>
      <c r="D231" s="6" t="str">
        <f>'[1]V, inciso o) (OP)'!C100</f>
        <v>DOPI-MUN-RM-IM-AD-220-2016</v>
      </c>
      <c r="E231" s="10">
        <f>'[1]V, inciso o) (OP)'!V100</f>
        <v>42647</v>
      </c>
      <c r="F231" s="32" t="str">
        <f>'[1]V, inciso o) (OP)'!AA100</f>
        <v>Suministro y colocación de estructuras de protección de rayos ultravioleta, pozos de filtración, cancelería y albañilería en el CRI ubicado en Av. Laureles, colonia Unidad Fovissste; Pintura y aplanados en el aula del CDI No. 3, ubicado en Av, Laureles, colonia Unidad Fovissste; Suministro y colocación de lona, colocación de ladrillo de azotea e impermeabilización en el área de consultorios y albañilería en el CEMAM, ubicado en la calle cerrada Santa Laura, colonia Santa Margarita Primera Sección, muncipio de Zapopan, Jalisco</v>
      </c>
      <c r="G231" s="6" t="s">
        <v>3308</v>
      </c>
      <c r="H231" s="39">
        <v>1495360.54</v>
      </c>
      <c r="I231" s="6" t="s">
        <v>597</v>
      </c>
      <c r="J231" s="6" t="str">
        <f>'[1]V, inciso o) (OP)'!M100</f>
        <v>JOSE ANTONIO</v>
      </c>
      <c r="K231" s="7" t="str">
        <f>'[1]V, inciso o) (OP)'!N100</f>
        <v>ALVAREZ</v>
      </c>
      <c r="L231" s="7" t="str">
        <f>'[1]V, inciso o) (OP)'!O100</f>
        <v>ZULOAGA</v>
      </c>
      <c r="M231" s="6" t="s">
        <v>1863</v>
      </c>
      <c r="N231" s="7" t="str">
        <f>'[1]V, inciso o) (OP)'!Q100</f>
        <v>GDA150928286</v>
      </c>
      <c r="O231" s="11">
        <f>'[1]V, inciso o) (OP)'!Y100</f>
        <v>1495360.54</v>
      </c>
      <c r="P231" s="11">
        <v>1386488.53</v>
      </c>
      <c r="Q231" s="7" t="s">
        <v>598</v>
      </c>
      <c r="R231" s="11">
        <f>O231/1035</f>
        <v>1444.7927922705314</v>
      </c>
      <c r="S231" s="7" t="s">
        <v>41</v>
      </c>
      <c r="T231" s="12">
        <v>1560</v>
      </c>
      <c r="U231" s="13" t="s">
        <v>42</v>
      </c>
      <c r="V231" s="7" t="s">
        <v>43</v>
      </c>
      <c r="W231" s="10">
        <f>'[1]V, inciso o) (OP)'!AD100</f>
        <v>42648</v>
      </c>
      <c r="X231" s="10">
        <f>'[1]V, inciso o) (OP)'!AE100</f>
        <v>42704</v>
      </c>
      <c r="Y231" s="7" t="s">
        <v>599</v>
      </c>
      <c r="Z231" s="7" t="s">
        <v>60</v>
      </c>
      <c r="AA231" s="7" t="s">
        <v>600</v>
      </c>
      <c r="AB231" s="21" t="s">
        <v>1399</v>
      </c>
      <c r="AC231" s="6" t="s">
        <v>2438</v>
      </c>
      <c r="AD231" s="6"/>
    </row>
    <row r="232" spans="1:30" ht="69.95" customHeight="1">
      <c r="A232" s="34">
        <v>221</v>
      </c>
      <c r="B232" s="7">
        <v>2016</v>
      </c>
      <c r="C232" s="6" t="s">
        <v>62</v>
      </c>
      <c r="D232" s="6" t="str">
        <f>'[1]V, inciso o) (OP)'!C101</f>
        <v>DOPI-MUN-RM-PAV-AD-221-2016</v>
      </c>
      <c r="E232" s="10">
        <f>'[1]V, inciso o) (OP)'!V101</f>
        <v>42685</v>
      </c>
      <c r="F232" s="6" t="str">
        <f>'[1]V, inciso o) (OP)'!AA101</f>
        <v>Pavimentación con concreto asfáltico en el paso inferior de Periférico Norte Manuel Gomez Morín en su cruce con la Av. Santa Margarita, municipio de Zapopan, Jalisco.</v>
      </c>
      <c r="G232" s="6" t="s">
        <v>3308</v>
      </c>
      <c r="H232" s="39">
        <v>1358863.01</v>
      </c>
      <c r="I232" s="6" t="s">
        <v>601</v>
      </c>
      <c r="J232" s="6" t="str">
        <f>'[1]V, inciso o) (OP)'!M101</f>
        <v>JESUS DAVID</v>
      </c>
      <c r="K232" s="7" t="str">
        <f>'[1]V, inciso o) (OP)'!N101</f>
        <v xml:space="preserve">GARZA </v>
      </c>
      <c r="L232" s="7" t="str">
        <f>'[1]V, inciso o) (OP)'!O101</f>
        <v>GARCIA</v>
      </c>
      <c r="M232" s="6" t="s">
        <v>3066</v>
      </c>
      <c r="N232" s="7" t="str">
        <f>'[1]V, inciso o) (OP)'!Q101</f>
        <v>CEA010615GT0</v>
      </c>
      <c r="O232" s="11">
        <f>'[1]V, inciso o) (OP)'!Y101</f>
        <v>1358863.01</v>
      </c>
      <c r="P232" s="11">
        <v>1284582.6000000001</v>
      </c>
      <c r="Q232" s="7" t="s">
        <v>602</v>
      </c>
      <c r="R232" s="11">
        <f>O232/3033</f>
        <v>448.02605011539731</v>
      </c>
      <c r="S232" s="7" t="s">
        <v>41</v>
      </c>
      <c r="T232" s="12">
        <v>368954</v>
      </c>
      <c r="U232" s="13" t="s">
        <v>42</v>
      </c>
      <c r="V232" s="7" t="s">
        <v>43</v>
      </c>
      <c r="W232" s="10">
        <f>'[1]V, inciso o) (OP)'!AD101</f>
        <v>42688</v>
      </c>
      <c r="X232" s="10">
        <f>'[1]V, inciso o) (OP)'!AE101</f>
        <v>42726</v>
      </c>
      <c r="Y232" s="7" t="s">
        <v>603</v>
      </c>
      <c r="Z232" s="7" t="s">
        <v>604</v>
      </c>
      <c r="AA232" s="7" t="s">
        <v>605</v>
      </c>
      <c r="AB232" s="21" t="s">
        <v>1455</v>
      </c>
      <c r="AC232" s="6" t="s">
        <v>2438</v>
      </c>
      <c r="AD232" s="6"/>
    </row>
    <row r="233" spans="1:30" ht="69.95" customHeight="1">
      <c r="A233" s="34">
        <v>222</v>
      </c>
      <c r="B233" s="7">
        <v>2016</v>
      </c>
      <c r="C233" s="6" t="s">
        <v>62</v>
      </c>
      <c r="D233" s="6" t="str">
        <f>'[1]V, inciso o) (OP)'!C102</f>
        <v>DOPI-MUN-RM-PAV-AD-222-2016</v>
      </c>
      <c r="E233" s="10">
        <f>'[1]V, inciso o) (OP)'!V102</f>
        <v>42650</v>
      </c>
      <c r="F233" s="6" t="str">
        <f>'[1]V, inciso o) (OP)'!AA102</f>
        <v>Construccion y rehabilitación de guarniciones, banquetas, obra complementaria en camellones en diferentes zonas del municipio de Zapopan, Jalisco, frente 1.</v>
      </c>
      <c r="G233" s="6" t="s">
        <v>63</v>
      </c>
      <c r="H233" s="39">
        <v>1447543.87</v>
      </c>
      <c r="I233" s="6" t="s">
        <v>1317</v>
      </c>
      <c r="J233" s="6" t="str">
        <f>'[1]V, inciso o) (OP)'!M102</f>
        <v>ESTEBAN</v>
      </c>
      <c r="K233" s="7" t="str">
        <f>'[1]V, inciso o) (OP)'!N102</f>
        <v>PEREZ</v>
      </c>
      <c r="L233" s="7" t="str">
        <f>'[1]V, inciso o) (OP)'!O102</f>
        <v>MUÑOZ</v>
      </c>
      <c r="M233" s="6" t="s">
        <v>3067</v>
      </c>
      <c r="N233" s="7" t="str">
        <f>'[1]V, inciso o) (OP)'!Q102</f>
        <v>GPC110927671</v>
      </c>
      <c r="O233" s="11">
        <f>'[1]V, inciso o) (OP)'!Y102</f>
        <v>1447543.87</v>
      </c>
      <c r="P233" s="11">
        <v>1447542.26</v>
      </c>
      <c r="Q233" s="7" t="s">
        <v>445</v>
      </c>
      <c r="R233" s="11">
        <f>O233/2130</f>
        <v>679.59806103286394</v>
      </c>
      <c r="S233" s="7" t="s">
        <v>41</v>
      </c>
      <c r="T233" s="12">
        <v>153800</v>
      </c>
      <c r="U233" s="13" t="s">
        <v>42</v>
      </c>
      <c r="V233" s="7" t="s">
        <v>43</v>
      </c>
      <c r="W233" s="10">
        <f>'[1]V, inciso o) (OP)'!AD102</f>
        <v>42651</v>
      </c>
      <c r="X233" s="10">
        <f>'[1]V, inciso o) (OP)'!AE102</f>
        <v>42714</v>
      </c>
      <c r="Y233" s="7" t="s">
        <v>345</v>
      </c>
      <c r="Z233" s="7" t="s">
        <v>346</v>
      </c>
      <c r="AA233" s="7" t="s">
        <v>347</v>
      </c>
      <c r="AB233" s="21" t="s">
        <v>2571</v>
      </c>
      <c r="AC233" s="6" t="s">
        <v>2438</v>
      </c>
      <c r="AD233" s="6"/>
    </row>
    <row r="234" spans="1:30" ht="69.95" customHeight="1">
      <c r="A234" s="34">
        <v>223</v>
      </c>
      <c r="B234" s="7">
        <v>2016</v>
      </c>
      <c r="C234" s="6" t="s">
        <v>62</v>
      </c>
      <c r="D234" s="6" t="str">
        <f>'[1]V, inciso o) (OP)'!C103</f>
        <v>DOPI-MUN-RM-BAN-AD-223-2016</v>
      </c>
      <c r="E234" s="10">
        <f>'[1]V, inciso o) (OP)'!V103</f>
        <v>42674</v>
      </c>
      <c r="F234" s="6" t="str">
        <f>'[1]V, inciso o) (OP)'!AA103</f>
        <v>Construcción de banquetas y guarniciones en la calle La Grana y calle Rastro, en la colonia San Isidro, municipio de Zapopan, Jalisco.</v>
      </c>
      <c r="G234" s="6" t="s">
        <v>3308</v>
      </c>
      <c r="H234" s="39">
        <v>650250.36</v>
      </c>
      <c r="I234" s="6" t="s">
        <v>585</v>
      </c>
      <c r="J234" s="6" t="str">
        <f>'[1]V, inciso o) (OP)'!M103</f>
        <v>ANGELICA</v>
      </c>
      <c r="K234" s="7" t="str">
        <f>'[1]V, inciso o) (OP)'!N103</f>
        <v>VALDERRAMA</v>
      </c>
      <c r="L234" s="7" t="str">
        <f>'[1]V, inciso o) (OP)'!O103</f>
        <v>CASTRO</v>
      </c>
      <c r="M234" s="6" t="s">
        <v>3068</v>
      </c>
      <c r="N234" s="7" t="str">
        <f>'[1]V, inciso o) (OP)'!Q103</f>
        <v>GVC1101316W5</v>
      </c>
      <c r="O234" s="11">
        <f>'[1]V, inciso o) (OP)'!Y103</f>
        <v>650250.36</v>
      </c>
      <c r="P234" s="11">
        <v>456915.32</v>
      </c>
      <c r="Q234" s="7" t="s">
        <v>606</v>
      </c>
      <c r="R234" s="11">
        <f>O234/822</f>
        <v>791.05883211678827</v>
      </c>
      <c r="S234" s="7" t="s">
        <v>41</v>
      </c>
      <c r="T234" s="12">
        <v>564</v>
      </c>
      <c r="U234" s="13" t="s">
        <v>42</v>
      </c>
      <c r="V234" s="7" t="s">
        <v>43</v>
      </c>
      <c r="W234" s="10">
        <f>'[1]V, inciso o) (OP)'!AD103</f>
        <v>42675</v>
      </c>
      <c r="X234" s="10">
        <f>'[1]V, inciso o) (OP)'!AE103</f>
        <v>42719</v>
      </c>
      <c r="Y234" s="7" t="s">
        <v>501</v>
      </c>
      <c r="Z234" s="7" t="s">
        <v>164</v>
      </c>
      <c r="AA234" s="7" t="s">
        <v>607</v>
      </c>
      <c r="AB234" s="21" t="s">
        <v>1400</v>
      </c>
      <c r="AC234" s="6" t="s">
        <v>2438</v>
      </c>
      <c r="AD234" s="6"/>
    </row>
    <row r="235" spans="1:30" ht="69.95" customHeight="1">
      <c r="A235" s="34">
        <v>225</v>
      </c>
      <c r="B235" s="7">
        <v>2016</v>
      </c>
      <c r="C235" s="6" t="s">
        <v>139</v>
      </c>
      <c r="D235" s="6" t="str">
        <f>'[1]V, inciso p) (OP)'!D139</f>
        <v>DOPI-MUN-RM-IM-CI-225-2016</v>
      </c>
      <c r="E235" s="10">
        <f>'[1]V, inciso p) (OP)'!AD139</f>
        <v>42727</v>
      </c>
      <c r="F235" s="6" t="str">
        <f>'[1]V, inciso p) (OP)'!AL139</f>
        <v>Rehabilitación de la Unidad Administrativa Las Águilas (cubierta, pintura, instalaciones eléctricas, instalaciones hidráulicas, nave central, impermeabilización, accesibilidad, baños, puertas de acceso principal) Frente 2</v>
      </c>
      <c r="G235" s="6" t="s">
        <v>3308</v>
      </c>
      <c r="H235" s="39">
        <v>2484449.75</v>
      </c>
      <c r="I235" s="6" t="s">
        <v>110</v>
      </c>
      <c r="J235" s="6" t="str">
        <f>'[1]V, inciso p) (OP)'!T139</f>
        <v>Edgardo</v>
      </c>
      <c r="K235" s="7" t="str">
        <f>'[1]V, inciso p) (OP)'!U139</f>
        <v>Zúñiga</v>
      </c>
      <c r="L235" s="7" t="str">
        <f>'[1]V, inciso p) (OP)'!V139</f>
        <v>Beristaín</v>
      </c>
      <c r="M235" s="6" t="s">
        <v>3069</v>
      </c>
      <c r="N235" s="7" t="str">
        <f>'[1]V, inciso p) (OP)'!X139</f>
        <v>PIZ070717DX6</v>
      </c>
      <c r="O235" s="11">
        <f>'[1]V, inciso p) (OP)'!AG139</f>
        <v>2484449.75</v>
      </c>
      <c r="P235" s="11">
        <v>2484449.4500000002</v>
      </c>
      <c r="Q235" s="7" t="s">
        <v>608</v>
      </c>
      <c r="R235" s="11">
        <f>O235/2982.85</f>
        <v>832.9113934659805</v>
      </c>
      <c r="S235" s="7" t="s">
        <v>41</v>
      </c>
      <c r="T235" s="12">
        <v>985622</v>
      </c>
      <c r="U235" s="13" t="s">
        <v>42</v>
      </c>
      <c r="V235" s="7" t="s">
        <v>43</v>
      </c>
      <c r="W235" s="10">
        <f>'[1]V, inciso p) (OP)'!AM139</f>
        <v>42730</v>
      </c>
      <c r="X235" s="10">
        <f>'[1]V, inciso p) (OP)'!AN139</f>
        <v>42820</v>
      </c>
      <c r="Y235" s="7" t="s">
        <v>501</v>
      </c>
      <c r="Z235" s="7" t="s">
        <v>164</v>
      </c>
      <c r="AA235" s="7" t="s">
        <v>607</v>
      </c>
      <c r="AB235" s="21" t="s">
        <v>1401</v>
      </c>
      <c r="AC235" s="6" t="s">
        <v>2438</v>
      </c>
      <c r="AD235" s="6"/>
    </row>
    <row r="236" spans="1:30" ht="69.95" customHeight="1">
      <c r="A236" s="34">
        <v>226</v>
      </c>
      <c r="B236" s="7">
        <v>2016</v>
      </c>
      <c r="C236" s="6" t="s">
        <v>139</v>
      </c>
      <c r="D236" s="6" t="str">
        <f>'[1]V, inciso p) (OP)'!D140</f>
        <v>DOPI-MUN-RM-MOV-CI-226-2016</v>
      </c>
      <c r="E236" s="10">
        <f>'[1]V, inciso p) (OP)'!AD140</f>
        <v>42727</v>
      </c>
      <c r="F236" s="6" t="str">
        <f>'[1]V, inciso p) (OP)'!AL140</f>
        <v>Rehabilitación de ciclovía Santa Margarita e iluminación, municipio de Zapopan, Jalisco.</v>
      </c>
      <c r="G236" s="6" t="s">
        <v>3308</v>
      </c>
      <c r="H236" s="39">
        <v>3949999.31</v>
      </c>
      <c r="I236" s="6" t="s">
        <v>609</v>
      </c>
      <c r="J236" s="6" t="str">
        <f>'[1]V, inciso p) (OP)'!T140</f>
        <v>Bernardo</v>
      </c>
      <c r="K236" s="7" t="str">
        <f>'[1]V, inciso p) (OP)'!U140</f>
        <v>Saenz</v>
      </c>
      <c r="L236" s="7" t="str">
        <f>'[1]V, inciso p) (OP)'!V140</f>
        <v>Barba</v>
      </c>
      <c r="M236" s="6" t="s">
        <v>2992</v>
      </c>
      <c r="N236" s="7" t="str">
        <f>'[1]V, inciso p) (OP)'!X140</f>
        <v>GEM070112PX8</v>
      </c>
      <c r="O236" s="11">
        <f>'[1]V, inciso p) (OP)'!AG140</f>
        <v>3949999.31</v>
      </c>
      <c r="P236" s="11">
        <v>3782206.72</v>
      </c>
      <c r="Q236" s="7" t="s">
        <v>610</v>
      </c>
      <c r="R236" s="11">
        <f>O236/6380</f>
        <v>619.12214890282132</v>
      </c>
      <c r="S236" s="7" t="s">
        <v>41</v>
      </c>
      <c r="T236" s="12">
        <v>25633</v>
      </c>
      <c r="U236" s="13" t="s">
        <v>42</v>
      </c>
      <c r="V236" s="7" t="s">
        <v>43</v>
      </c>
      <c r="W236" s="10">
        <f>'[1]V, inciso p) (OP)'!AM140</f>
        <v>42730</v>
      </c>
      <c r="X236" s="10">
        <f>'[1]V, inciso p) (OP)'!AN140</f>
        <v>42820</v>
      </c>
      <c r="Y236" s="7" t="s">
        <v>360</v>
      </c>
      <c r="Z236" s="7" t="s">
        <v>361</v>
      </c>
      <c r="AA236" s="7" t="s">
        <v>362</v>
      </c>
      <c r="AB236" s="21" t="s">
        <v>1456</v>
      </c>
      <c r="AC236" s="6" t="s">
        <v>2438</v>
      </c>
      <c r="AD236" s="6"/>
    </row>
    <row r="237" spans="1:30" ht="69.95" customHeight="1">
      <c r="A237" s="34">
        <v>227</v>
      </c>
      <c r="B237" s="7">
        <v>2016</v>
      </c>
      <c r="C237" s="6" t="s">
        <v>62</v>
      </c>
      <c r="D237" s="6" t="str">
        <f>'[1]V, inciso o) (OP)'!C104</f>
        <v>DOPI-MUN-RM-PROY-AD-227-2016</v>
      </c>
      <c r="E237" s="10">
        <f>'[1]V, inciso o) (OP)'!V104</f>
        <v>42706</v>
      </c>
      <c r="F237" s="6" t="str">
        <f>'[1]V, inciso o) (OP)'!AA104</f>
        <v>Estudios y proyecto ejecutivo para estructuras de regulación hidráulica; Diagnóstico, diseño y proyectos hidráulicos 2016, tercera etapa, de diferentes redes de agua potable y alcantarillado, municipio de Zapopan, Jalisco.</v>
      </c>
      <c r="G237" s="6" t="s">
        <v>3308</v>
      </c>
      <c r="H237" s="39">
        <v>1199639.3999999999</v>
      </c>
      <c r="I237" s="6" t="s">
        <v>1024</v>
      </c>
      <c r="J237" s="6" t="str">
        <f>'[1]V, inciso o) (OP)'!M104</f>
        <v>VICTOR MARTIN</v>
      </c>
      <c r="K237" s="7" t="str">
        <f>'[1]V, inciso o) (OP)'!N104</f>
        <v>LOPEZ</v>
      </c>
      <c r="L237" s="7" t="str">
        <f>'[1]V, inciso o) (OP)'!O104</f>
        <v>SANTOS</v>
      </c>
      <c r="M237" s="6" t="s">
        <v>3070</v>
      </c>
      <c r="N237" s="7" t="str">
        <f>'[1]V, inciso o) (OP)'!Q104</f>
        <v>CCI020411HS5</v>
      </c>
      <c r="O237" s="11">
        <f>'[1]V, inciso o) (OP)'!Y104</f>
        <v>1199639.3999999999</v>
      </c>
      <c r="P237" s="11">
        <v>1199639.1099999999</v>
      </c>
      <c r="Q237" s="7" t="s">
        <v>611</v>
      </c>
      <c r="R237" s="11">
        <f>O237</f>
        <v>1199639.3999999999</v>
      </c>
      <c r="S237" s="7" t="s">
        <v>121</v>
      </c>
      <c r="T237" s="12" t="s">
        <v>121</v>
      </c>
      <c r="U237" s="13" t="s">
        <v>42</v>
      </c>
      <c r="V237" s="43" t="s">
        <v>43</v>
      </c>
      <c r="W237" s="10">
        <f>'[1]V, inciso o) (OP)'!AD104</f>
        <v>42709</v>
      </c>
      <c r="X237" s="10">
        <f>'[1]V, inciso o) (OP)'!AE104</f>
        <v>42859</v>
      </c>
      <c r="Y237" s="7" t="s">
        <v>612</v>
      </c>
      <c r="Z237" s="7" t="s">
        <v>126</v>
      </c>
      <c r="AA237" s="7" t="s">
        <v>127</v>
      </c>
      <c r="AB237" s="21" t="s">
        <v>2841</v>
      </c>
      <c r="AC237" s="6" t="s">
        <v>2438</v>
      </c>
      <c r="AD237" s="6"/>
    </row>
    <row r="238" spans="1:30" ht="69.95" customHeight="1">
      <c r="A238" s="34">
        <v>228</v>
      </c>
      <c r="B238" s="7">
        <v>2016</v>
      </c>
      <c r="C238" s="6" t="str">
        <f>'[1]V, inciso p) (OP)'!B141</f>
        <v>Licitación por Invitación Restringida</v>
      </c>
      <c r="D238" s="6" t="str">
        <f>'[1]V, inciso p) (OP)'!D141</f>
        <v>DOPI-MUN-R33-AP-CI-228-2016</v>
      </c>
      <c r="E238" s="10">
        <f>'[1]V, inciso p) (OP)'!AD141</f>
        <v>42727</v>
      </c>
      <c r="F238" s="6" t="str">
        <f>'[1]V, inciso p) (OP)'!AL141</f>
        <v xml:space="preserve">Perforación y equipamiento de pozo en la localidad de Los Patios, en el municipio de Zapopan, Jalisco. </v>
      </c>
      <c r="G238" s="6" t="s">
        <v>3318</v>
      </c>
      <c r="H238" s="39">
        <v>6196741.5800000001</v>
      </c>
      <c r="I238" s="6" t="str">
        <f>'[1]V, inciso p) (OP)'!AS141</f>
        <v>Localidad Los Patios</v>
      </c>
      <c r="J238" s="6" t="str">
        <f>'[1]V, inciso p) (OP)'!T141</f>
        <v>Karla Mariana</v>
      </c>
      <c r="K238" s="7" t="str">
        <f>'[1]V, inciso p) (OP)'!U141</f>
        <v>Méndez</v>
      </c>
      <c r="L238" s="7" t="str">
        <f>'[1]V, inciso p) (OP)'!V141</f>
        <v>Rodríguez</v>
      </c>
      <c r="M238" s="6" t="s">
        <v>3023</v>
      </c>
      <c r="N238" s="7" t="str">
        <f>'[1]V, inciso p) (OP)'!X141</f>
        <v>GFU021009BC1</v>
      </c>
      <c r="O238" s="11">
        <f>'[1]V, inciso p) (OP)'!AG141</f>
        <v>6196741.5800000001</v>
      </c>
      <c r="P238" s="11">
        <v>5433398.6399999997</v>
      </c>
      <c r="Q238" s="7" t="s">
        <v>50</v>
      </c>
      <c r="R238" s="11">
        <f>O238</f>
        <v>6196741.5800000001</v>
      </c>
      <c r="S238" s="7" t="s">
        <v>41</v>
      </c>
      <c r="T238" s="12">
        <v>39</v>
      </c>
      <c r="U238" s="13" t="s">
        <v>42</v>
      </c>
      <c r="V238" s="7" t="s">
        <v>43</v>
      </c>
      <c r="W238" s="10">
        <f>'[1]V, inciso p) (OP)'!AM141</f>
        <v>42730</v>
      </c>
      <c r="X238" s="10">
        <f>'[1]V, inciso p) (OP)'!AN141</f>
        <v>42850</v>
      </c>
      <c r="Y238" s="7" t="s">
        <v>484</v>
      </c>
      <c r="Z238" s="7" t="s">
        <v>485</v>
      </c>
      <c r="AA238" s="7" t="s">
        <v>94</v>
      </c>
      <c r="AB238" s="21" t="s">
        <v>1457</v>
      </c>
      <c r="AC238" s="6" t="s">
        <v>2438</v>
      </c>
      <c r="AD238" s="6"/>
    </row>
    <row r="239" spans="1:30" ht="69.95" customHeight="1">
      <c r="A239" s="34">
        <v>229</v>
      </c>
      <c r="B239" s="7">
        <v>2016</v>
      </c>
      <c r="C239" s="6" t="str">
        <f>'[1]V, inciso p) (OP)'!B142</f>
        <v>Licitación por Invitación Restringida</v>
      </c>
      <c r="D239" s="6" t="str">
        <f>'[1]V, inciso p) (OP)'!D142</f>
        <v>DOPI-MUN-R33-AP-CI-229-2016</v>
      </c>
      <c r="E239" s="10">
        <f>'[1]V, inciso p) (OP)'!AD142</f>
        <v>42727</v>
      </c>
      <c r="F239" s="6" t="str">
        <f>'[1]V, inciso p) (OP)'!AL142</f>
        <v>Construcción de línea de conducción de agua potable de 3" de tubería galvanizada, en la localidad San José, en el municipio de Zapopan, Jalisco.</v>
      </c>
      <c r="G239" s="6" t="s">
        <v>3318</v>
      </c>
      <c r="H239" s="39">
        <v>3453426.13</v>
      </c>
      <c r="I239" s="6" t="str">
        <f>'[1]V, inciso p) (OP)'!AS142</f>
        <v>Localidad San José</v>
      </c>
      <c r="J239" s="6" t="str">
        <f>'[1]V, inciso p) (OP)'!T142</f>
        <v>José Antonio</v>
      </c>
      <c r="K239" s="7" t="str">
        <f>'[1]V, inciso p) (OP)'!U142</f>
        <v>Álvarez</v>
      </c>
      <c r="L239" s="7" t="str">
        <f>'[1]V, inciso p) (OP)'!V142</f>
        <v>García</v>
      </c>
      <c r="M239" s="6" t="s">
        <v>320</v>
      </c>
      <c r="N239" s="7" t="str">
        <f>'[1]V, inciso p) (OP)'!X142</f>
        <v>UMN160125869</v>
      </c>
      <c r="O239" s="11">
        <f>'[1]V, inciso p) (OP)'!AG142</f>
        <v>3453426.13</v>
      </c>
      <c r="P239" s="11">
        <v>3452196.0500000003</v>
      </c>
      <c r="Q239" s="7" t="s">
        <v>613</v>
      </c>
      <c r="R239" s="11">
        <f>O239/3200</f>
        <v>1079.1956656249999</v>
      </c>
      <c r="S239" s="7" t="s">
        <v>41</v>
      </c>
      <c r="T239" s="12">
        <v>71</v>
      </c>
      <c r="U239" s="13" t="s">
        <v>42</v>
      </c>
      <c r="V239" s="7" t="s">
        <v>43</v>
      </c>
      <c r="W239" s="10">
        <f>'[1]V, inciso p) (OP)'!AM142</f>
        <v>42730</v>
      </c>
      <c r="X239" s="10">
        <f>'[1]V, inciso p) (OP)'!AN142</f>
        <v>42850</v>
      </c>
      <c r="Y239" s="7" t="s">
        <v>484</v>
      </c>
      <c r="Z239" s="7" t="s">
        <v>485</v>
      </c>
      <c r="AA239" s="7" t="s">
        <v>94</v>
      </c>
      <c r="AB239" s="21" t="s">
        <v>1458</v>
      </c>
      <c r="AC239" s="6" t="s">
        <v>2438</v>
      </c>
      <c r="AD239" s="6"/>
    </row>
    <row r="240" spans="1:30" ht="69.95" customHeight="1">
      <c r="A240" s="34">
        <v>230</v>
      </c>
      <c r="B240" s="7">
        <v>2016</v>
      </c>
      <c r="C240" s="6" t="str">
        <f>'[1]V, inciso p) (OP)'!B143</f>
        <v>Licitación por Invitación Restringida</v>
      </c>
      <c r="D240" s="6" t="str">
        <f>'[1]V, inciso p) (OP)'!D143</f>
        <v>DOPI-MUN-R33-AP-CI-230-2016</v>
      </c>
      <c r="E240" s="10">
        <f>'[1]V, inciso p) (OP)'!AD143</f>
        <v>42727</v>
      </c>
      <c r="F240" s="6" t="str">
        <f>'[1]V, inciso p) (OP)'!AL143</f>
        <v>Construcción de línea de agua potable en la Carretera a San Esteban de Carretera a Saltillo a calle Norte, en la localidad de San Isidro, en el municipio de Zapopan, Jalisco.</v>
      </c>
      <c r="G240" s="6" t="s">
        <v>3318</v>
      </c>
      <c r="H240" s="39">
        <v>1996402.43</v>
      </c>
      <c r="I240" s="6" t="str">
        <f>'[1]V, inciso p) (OP)'!AS143</f>
        <v>Localidad San Isidro</v>
      </c>
      <c r="J240" s="6" t="str">
        <f>'[1]V, inciso p) (OP)'!T143</f>
        <v>Ernesto</v>
      </c>
      <c r="K240" s="7" t="str">
        <f>'[1]V, inciso p) (OP)'!U143</f>
        <v>Zamora</v>
      </c>
      <c r="L240" s="7" t="str">
        <f>'[1]V, inciso p) (OP)'!V143</f>
        <v>Corona</v>
      </c>
      <c r="M240" s="6" t="s">
        <v>2990</v>
      </c>
      <c r="N240" s="7" t="str">
        <f>'[1]V, inciso p) (OP)'!X143</f>
        <v>KIC040617JIA</v>
      </c>
      <c r="O240" s="11">
        <f>'[1]V, inciso p) (OP)'!AG143</f>
        <v>1996402.43</v>
      </c>
      <c r="P240" s="11">
        <v>1915991.2300000002</v>
      </c>
      <c r="Q240" s="7" t="s">
        <v>614</v>
      </c>
      <c r="R240" s="11">
        <f>O240/733</f>
        <v>2723.604952251023</v>
      </c>
      <c r="S240" s="7" t="s">
        <v>41</v>
      </c>
      <c r="T240" s="12">
        <v>1446</v>
      </c>
      <c r="U240" s="13" t="s">
        <v>42</v>
      </c>
      <c r="V240" s="7" t="s">
        <v>43</v>
      </c>
      <c r="W240" s="10">
        <f>'[1]V, inciso p) (OP)'!AM143</f>
        <v>42730</v>
      </c>
      <c r="X240" s="10">
        <f>'[1]V, inciso p) (OP)'!AN143</f>
        <v>42820</v>
      </c>
      <c r="Y240" s="7" t="s">
        <v>460</v>
      </c>
      <c r="Z240" s="7" t="s">
        <v>302</v>
      </c>
      <c r="AA240" s="7" t="s">
        <v>303</v>
      </c>
      <c r="AB240" s="21" t="s">
        <v>1459</v>
      </c>
      <c r="AC240" s="6" t="s">
        <v>2438</v>
      </c>
      <c r="AD240" s="6"/>
    </row>
    <row r="241" spans="1:30" ht="69.95" customHeight="1">
      <c r="A241" s="34">
        <v>231</v>
      </c>
      <c r="B241" s="7">
        <v>2016</v>
      </c>
      <c r="C241" s="6" t="str">
        <f>'[1]V, inciso p) (OP)'!B144</f>
        <v>Licitación por Invitación Restringida</v>
      </c>
      <c r="D241" s="6" t="str">
        <f>'[1]V, inciso p) (OP)'!D144</f>
        <v>DOPI-MUN-R33-AP-CI-231-2016</v>
      </c>
      <c r="E241" s="10">
        <f>'[1]V, inciso p) (OP)'!AD144</f>
        <v>42727</v>
      </c>
      <c r="F241" s="6" t="str">
        <f>'[1]V, inciso p) (OP)'!AL144</f>
        <v>Construcción de la primera etapa de línea de agua potable en la colonia Colinas del Rio, en el municipio de Zapopan, Jalisco.</v>
      </c>
      <c r="G241" s="6" t="s">
        <v>3318</v>
      </c>
      <c r="H241" s="39">
        <v>3589467.88</v>
      </c>
      <c r="I241" s="6" t="str">
        <f>'[1]V, inciso p) (OP)'!AS144</f>
        <v>Colonia Colinas del Rio</v>
      </c>
      <c r="J241" s="6" t="str">
        <f>'[1]V, inciso p) (OP)'!T144</f>
        <v>Adalberto</v>
      </c>
      <c r="K241" s="7" t="str">
        <f>'[1]V, inciso p) (OP)'!U144</f>
        <v>Medina</v>
      </c>
      <c r="L241" s="7" t="str">
        <f>'[1]V, inciso p) (OP)'!V144</f>
        <v>Morales</v>
      </c>
      <c r="M241" s="6" t="s">
        <v>3007</v>
      </c>
      <c r="N241" s="7" t="str">
        <f>'[1]V, inciso p) (OP)'!X144</f>
        <v>URD130830U21</v>
      </c>
      <c r="O241" s="11">
        <f>'[1]V, inciso p) (OP)'!AG144</f>
        <v>3589467.88</v>
      </c>
      <c r="P241" s="11">
        <v>3588240.4699999997</v>
      </c>
      <c r="Q241" s="7" t="s">
        <v>615</v>
      </c>
      <c r="R241" s="11">
        <f>O241/2918</f>
        <v>1230.1123646333103</v>
      </c>
      <c r="S241" s="7" t="s">
        <v>41</v>
      </c>
      <c r="T241" s="12">
        <v>125</v>
      </c>
      <c r="U241" s="13" t="s">
        <v>42</v>
      </c>
      <c r="V241" s="7" t="s">
        <v>43</v>
      </c>
      <c r="W241" s="10">
        <f>'[1]V, inciso p) (OP)'!AM144</f>
        <v>42730</v>
      </c>
      <c r="X241" s="10">
        <f>'[1]V, inciso p) (OP)'!AN144</f>
        <v>42850</v>
      </c>
      <c r="Y241" s="7" t="s">
        <v>460</v>
      </c>
      <c r="Z241" s="7" t="s">
        <v>302</v>
      </c>
      <c r="AA241" s="7" t="s">
        <v>303</v>
      </c>
      <c r="AB241" s="21" t="s">
        <v>1460</v>
      </c>
      <c r="AC241" s="6" t="s">
        <v>2438</v>
      </c>
      <c r="AD241" s="6"/>
    </row>
    <row r="242" spans="1:30" ht="69.95" customHeight="1">
      <c r="A242" s="34">
        <v>232</v>
      </c>
      <c r="B242" s="7">
        <v>2016</v>
      </c>
      <c r="C242" s="6" t="str">
        <f>'[1]V, inciso p) (OP)'!B145</f>
        <v>Licitación por Invitación Restringida</v>
      </c>
      <c r="D242" s="6" t="str">
        <f>'[1]V, inciso p) (OP)'!D145</f>
        <v>DOPI-MUN-R33-PAV-CI-232-2016</v>
      </c>
      <c r="E242" s="10">
        <f>'[1]V, inciso p) (OP)'!AD145</f>
        <v>42727</v>
      </c>
      <c r="F242" s="6" t="str">
        <f>'[1]V, inciso p) (OP)'!AL145</f>
        <v>Pavimentación con concreto hidráulico, línea de agua potable, drenaje sanitario y alumbrado público, en la calle Abel Salgado, de Carretera a Saltillo a calle Ojo de Agua, en la colonia Agua Fría, municipio de Zapopan Jalisco, frente 1.</v>
      </c>
      <c r="G242" s="6" t="s">
        <v>3318</v>
      </c>
      <c r="H242" s="39">
        <v>3867999.72</v>
      </c>
      <c r="I242" s="6" t="str">
        <f>'[1]V, inciso p) (OP)'!AS145</f>
        <v>Colonia Agua Fria</v>
      </c>
      <c r="J242" s="6" t="str">
        <f>'[1]V, inciso p) (OP)'!T145</f>
        <v>Edwin</v>
      </c>
      <c r="K242" s="7" t="str">
        <f>'[1]V, inciso p) (OP)'!U145</f>
        <v>Aguiar</v>
      </c>
      <c r="L242" s="7" t="str">
        <f>'[1]V, inciso p) (OP)'!V145</f>
        <v>Escatel</v>
      </c>
      <c r="M242" s="6" t="s">
        <v>3071</v>
      </c>
      <c r="N242" s="7" t="str">
        <f>'[1]V, inciso p) (OP)'!X145</f>
        <v>MUR090325P33</v>
      </c>
      <c r="O242" s="11">
        <f>'[1]V, inciso p) (OP)'!AG145</f>
        <v>3867999.72</v>
      </c>
      <c r="P242" s="11">
        <v>3867999.2</v>
      </c>
      <c r="Q242" s="7" t="s">
        <v>616</v>
      </c>
      <c r="R242" s="11">
        <f>O242/1921.33</f>
        <v>2013.1886349559943</v>
      </c>
      <c r="S242" s="7" t="s">
        <v>41</v>
      </c>
      <c r="T242" s="12">
        <v>104</v>
      </c>
      <c r="U242" s="13" t="s">
        <v>42</v>
      </c>
      <c r="V242" s="7" t="s">
        <v>43</v>
      </c>
      <c r="W242" s="10">
        <f>'[1]V, inciso p) (OP)'!AM145</f>
        <v>42730</v>
      </c>
      <c r="X242" s="10">
        <f>'[1]V, inciso p) (OP)'!AN145</f>
        <v>42880</v>
      </c>
      <c r="Y242" s="7" t="s">
        <v>460</v>
      </c>
      <c r="Z242" s="7" t="s">
        <v>302</v>
      </c>
      <c r="AA242" s="7" t="s">
        <v>303</v>
      </c>
      <c r="AB242" s="21" t="s">
        <v>1461</v>
      </c>
      <c r="AC242" s="6" t="s">
        <v>2438</v>
      </c>
      <c r="AD242" s="6"/>
    </row>
    <row r="243" spans="1:30" ht="69.95" customHeight="1">
      <c r="A243" s="34">
        <v>233</v>
      </c>
      <c r="B243" s="7">
        <v>2016</v>
      </c>
      <c r="C243" s="6" t="str">
        <f>'[1]V, inciso p) (OP)'!B146</f>
        <v>Licitación por Invitación Restringida</v>
      </c>
      <c r="D243" s="6" t="str">
        <f>'[1]V, inciso p) (OP)'!D146</f>
        <v>DOPI-MUN-R33-PAV-CI-233-2016</v>
      </c>
      <c r="E243" s="10">
        <f>'[1]V, inciso p) (OP)'!AD146</f>
        <v>42727</v>
      </c>
      <c r="F243" s="6" t="str">
        <f>'[1]V, inciso p) (OP)'!AL146</f>
        <v>Pavimentación con concreto hidráulico, línea de agua potable, drenaje sanitario y alumbrado público,  en la calle Abel Salgado, de Carretera a Saltillo a calle Ojo de Agua, en la colonia Agua Fría, municipio de Zapopan Jalisco, frente 2.</v>
      </c>
      <c r="G243" s="6" t="s">
        <v>3318</v>
      </c>
      <c r="H243" s="39">
        <v>3638106.52</v>
      </c>
      <c r="I243" s="6" t="str">
        <f>'[1]V, inciso p) (OP)'!AS146</f>
        <v>Colonia Agua Fria</v>
      </c>
      <c r="J243" s="6" t="str">
        <f>'[1]V, inciso p) (OP)'!T146</f>
        <v>Clarissa Gabriela</v>
      </c>
      <c r="K243" s="7" t="str">
        <f>'[1]V, inciso p) (OP)'!U146</f>
        <v>Valdez</v>
      </c>
      <c r="L243" s="7" t="str">
        <f>'[1]V, inciso p) (OP)'!V146</f>
        <v>Manjarrez</v>
      </c>
      <c r="M243" s="6" t="s">
        <v>2964</v>
      </c>
      <c r="N243" s="7" t="str">
        <f>'[1]V, inciso p) (OP)'!X146</f>
        <v>TGE101215JI6</v>
      </c>
      <c r="O243" s="11">
        <f>'[1]V, inciso p) (OP)'!AG146</f>
        <v>3638106.52</v>
      </c>
      <c r="P243" s="11">
        <v>3456232.43</v>
      </c>
      <c r="Q243" s="7" t="s">
        <v>617</v>
      </c>
      <c r="R243" s="11">
        <f>O243/1754.05</f>
        <v>2074.1179099797614</v>
      </c>
      <c r="S243" s="7" t="s">
        <v>41</v>
      </c>
      <c r="T243" s="12">
        <v>104</v>
      </c>
      <c r="U243" s="13" t="s">
        <v>42</v>
      </c>
      <c r="V243" s="7" t="s">
        <v>43</v>
      </c>
      <c r="W243" s="10">
        <f>'[1]V, inciso p) (OP)'!AM146</f>
        <v>42730</v>
      </c>
      <c r="X243" s="10">
        <f>'[1]V, inciso p) (OP)'!AN146</f>
        <v>42880</v>
      </c>
      <c r="Y243" s="7" t="s">
        <v>460</v>
      </c>
      <c r="Z243" s="7" t="s">
        <v>302</v>
      </c>
      <c r="AA243" s="7" t="s">
        <v>303</v>
      </c>
      <c r="AB243" s="21" t="s">
        <v>1517</v>
      </c>
      <c r="AC243" s="6" t="s">
        <v>2438</v>
      </c>
      <c r="AD243" s="6"/>
    </row>
    <row r="244" spans="1:30" ht="69.95" customHeight="1">
      <c r="A244" s="34">
        <v>234</v>
      </c>
      <c r="B244" s="7">
        <v>2016</v>
      </c>
      <c r="C244" s="6" t="s">
        <v>62</v>
      </c>
      <c r="D244" s="6" t="str">
        <f>'[1]V, inciso o) (OP)'!C105</f>
        <v>DOPI-MUN-RM-MOV-AD-234-2016</v>
      </c>
      <c r="E244" s="10">
        <f>'[1]V, inciso o) (OP)'!V105</f>
        <v>42674</v>
      </c>
      <c r="F244" s="6" t="str">
        <f>'[1]V, inciso o) (OP)'!AA105</f>
        <v>Señalización vertical y horizontal en diferentes obras del municipio de Zapopan, Jalisco, frente 2.</v>
      </c>
      <c r="G244" s="6" t="s">
        <v>3308</v>
      </c>
      <c r="H244" s="39">
        <v>1342102.7</v>
      </c>
      <c r="I244" s="6" t="s">
        <v>1317</v>
      </c>
      <c r="J244" s="6" t="str">
        <f>'[1]V, inciso o) (OP)'!M105</f>
        <v xml:space="preserve">HUGO RAFAEL </v>
      </c>
      <c r="K244" s="7" t="str">
        <f>'[1]V, inciso o) (OP)'!N105</f>
        <v>CABRERA</v>
      </c>
      <c r="L244" s="7" t="str">
        <f>'[1]V, inciso o) (OP)'!O105</f>
        <v>ORTINEZ</v>
      </c>
      <c r="M244" s="6" t="s">
        <v>3072</v>
      </c>
      <c r="N244" s="7" t="str">
        <f>'[1]V, inciso o) (OP)'!Q105</f>
        <v>CAOH671024T38</v>
      </c>
      <c r="O244" s="11">
        <f>'[1]V, inciso o) (OP)'!Y105</f>
        <v>1342102.7</v>
      </c>
      <c r="P244" s="11">
        <v>1342101.02</v>
      </c>
      <c r="Q244" s="7" t="s">
        <v>618</v>
      </c>
      <c r="R244" s="11">
        <f>O244</f>
        <v>1342102.7</v>
      </c>
      <c r="S244" s="7" t="s">
        <v>41</v>
      </c>
      <c r="T244" s="12">
        <v>265840</v>
      </c>
      <c r="U244" s="13" t="s">
        <v>42</v>
      </c>
      <c r="V244" s="7" t="s">
        <v>43</v>
      </c>
      <c r="W244" s="10">
        <f>'[1]V, inciso o) (OP)'!AD105</f>
        <v>42675</v>
      </c>
      <c r="X244" s="10">
        <f>'[1]V, inciso o) (OP)'!AE105</f>
        <v>42735</v>
      </c>
      <c r="Y244" s="7" t="s">
        <v>380</v>
      </c>
      <c r="Z244" s="7" t="s">
        <v>45</v>
      </c>
      <c r="AA244" s="7" t="s">
        <v>46</v>
      </c>
      <c r="AB244" s="21" t="s">
        <v>1518</v>
      </c>
      <c r="AC244" s="6" t="s">
        <v>2438</v>
      </c>
      <c r="AD244" s="6"/>
    </row>
    <row r="245" spans="1:30" ht="69.95" customHeight="1">
      <c r="A245" s="34">
        <v>235</v>
      </c>
      <c r="B245" s="7">
        <v>2016</v>
      </c>
      <c r="C245" s="6" t="s">
        <v>62</v>
      </c>
      <c r="D245" s="6" t="str">
        <f>'[1]V, inciso o) (OP)'!C106</f>
        <v>DOPI-MUN-RM-IM-AD-235-2016</v>
      </c>
      <c r="E245" s="10">
        <f>'[1]V, inciso o) (OP)'!V106</f>
        <v>42664</v>
      </c>
      <c r="F245" s="6" t="str">
        <f>'[1]V, inciso o) (OP)'!AA106</f>
        <v>Construcción de caseta de vigilancia en el parque Metropolitano, municipio de Zapopan, Jalisco</v>
      </c>
      <c r="G245" s="6" t="s">
        <v>3308</v>
      </c>
      <c r="H245" s="39">
        <v>915870.14</v>
      </c>
      <c r="I245" s="6" t="s">
        <v>619</v>
      </c>
      <c r="J245" s="6" t="str">
        <f>'[1]V, inciso o) (OP)'!M106</f>
        <v>HIRAM</v>
      </c>
      <c r="K245" s="7" t="str">
        <f>'[1]V, inciso o) (OP)'!N106</f>
        <v>SANCHEZ</v>
      </c>
      <c r="L245" s="7" t="str">
        <f>'[1]V, inciso o) (OP)'!O106</f>
        <v>LUGO</v>
      </c>
      <c r="M245" s="6" t="s">
        <v>2038</v>
      </c>
      <c r="N245" s="7" t="str">
        <f>'[1]V, inciso o) (OP)'!Q106</f>
        <v>CUR130430U59</v>
      </c>
      <c r="O245" s="11">
        <f>'[1]V, inciso o) (OP)'!Y106</f>
        <v>915870.14</v>
      </c>
      <c r="P245" s="11">
        <v>888982.31</v>
      </c>
      <c r="Q245" s="7" t="s">
        <v>620</v>
      </c>
      <c r="R245" s="11">
        <f>O245/96</f>
        <v>9540.3139583333341</v>
      </c>
      <c r="S245" s="7" t="s">
        <v>41</v>
      </c>
      <c r="T245" s="12">
        <v>25830</v>
      </c>
      <c r="U245" s="13" t="s">
        <v>42</v>
      </c>
      <c r="V245" s="7" t="s">
        <v>43</v>
      </c>
      <c r="W245" s="10">
        <f>'[1]V, inciso o) (OP)'!AD106</f>
        <v>42667</v>
      </c>
      <c r="X245" s="10">
        <f>'[1]V, inciso o) (OP)'!AE106</f>
        <v>42704</v>
      </c>
      <c r="Y245" s="7" t="s">
        <v>462</v>
      </c>
      <c r="Z245" s="7" t="s">
        <v>310</v>
      </c>
      <c r="AA245" s="7" t="s">
        <v>130</v>
      </c>
      <c r="AB245" s="21" t="s">
        <v>1519</v>
      </c>
      <c r="AC245" s="6" t="s">
        <v>2438</v>
      </c>
      <c r="AD245" s="6"/>
    </row>
    <row r="246" spans="1:30" ht="69.95" customHeight="1">
      <c r="A246" s="34">
        <v>236</v>
      </c>
      <c r="B246" s="7">
        <v>2016</v>
      </c>
      <c r="C246" s="6" t="s">
        <v>62</v>
      </c>
      <c r="D246" s="6" t="str">
        <f>'[1]V, inciso o) (OP)'!C107</f>
        <v>DOPI-MUN-RM-PROY-AD-236-2016</v>
      </c>
      <c r="E246" s="10">
        <f>'[1]V, inciso o) (OP)'!V107</f>
        <v>42664</v>
      </c>
      <c r="F246" s="6" t="str">
        <f>'[1]V, inciso o) (OP)'!AA107</f>
        <v>Estudios de impacto ambiental, diagnostico de impacto vial y estudio de impacto urbano, frente 1, municipio de Zapopan, Jalisco</v>
      </c>
      <c r="G246" s="6" t="s">
        <v>3308</v>
      </c>
      <c r="H246" s="39">
        <v>556069.19999999995</v>
      </c>
      <c r="I246" s="6" t="s">
        <v>1317</v>
      </c>
      <c r="J246" s="6" t="str">
        <f>'[1]V, inciso o) (OP)'!M107</f>
        <v>JUAN RAMON</v>
      </c>
      <c r="K246" s="7" t="str">
        <f>'[1]V, inciso o) (OP)'!N107</f>
        <v>RAMIREZ</v>
      </c>
      <c r="L246" s="7" t="str">
        <f>'[1]V, inciso o) (OP)'!O107</f>
        <v>ALATORRE</v>
      </c>
      <c r="M246" s="6" t="s">
        <v>3073</v>
      </c>
      <c r="N246" s="7" t="str">
        <f>'[1]V, inciso o) (OP)'!Q107</f>
        <v>QGE080213988</v>
      </c>
      <c r="O246" s="11">
        <f>'[1]V, inciso o) (OP)'!Y107</f>
        <v>556069.19999999995</v>
      </c>
      <c r="P246" s="11">
        <v>556069.18999999994</v>
      </c>
      <c r="Q246" s="7" t="s">
        <v>611</v>
      </c>
      <c r="R246" s="11">
        <f>O246</f>
        <v>556069.19999999995</v>
      </c>
      <c r="S246" s="7" t="s">
        <v>121</v>
      </c>
      <c r="T246" s="12" t="s">
        <v>121</v>
      </c>
      <c r="U246" s="13" t="s">
        <v>42</v>
      </c>
      <c r="V246" s="7" t="s">
        <v>43</v>
      </c>
      <c r="W246" s="10">
        <f>'[1]V, inciso o) (OP)'!AD107</f>
        <v>42667</v>
      </c>
      <c r="X246" s="10">
        <f>'[1]V, inciso o) (OP)'!AE107</f>
        <v>42735</v>
      </c>
      <c r="Y246" s="7" t="s">
        <v>621</v>
      </c>
      <c r="Z246" s="7" t="s">
        <v>604</v>
      </c>
      <c r="AA246" s="7" t="s">
        <v>124</v>
      </c>
      <c r="AB246" s="21" t="s">
        <v>1462</v>
      </c>
      <c r="AC246" s="6" t="s">
        <v>2438</v>
      </c>
      <c r="AD246" s="6"/>
    </row>
    <row r="247" spans="1:30" ht="69.95" customHeight="1">
      <c r="A247" s="34">
        <v>237</v>
      </c>
      <c r="B247" s="7">
        <v>2016</v>
      </c>
      <c r="C247" s="6" t="s">
        <v>62</v>
      </c>
      <c r="D247" s="6" t="str">
        <f>'[1]V, inciso o) (OP)'!C108</f>
        <v>DOPI-MUN-RM-PAV-AD-237-2016</v>
      </c>
      <c r="E247" s="10">
        <f>'[1]V, inciso o) (OP)'!V108</f>
        <v>42664</v>
      </c>
      <c r="F247" s="6" t="str">
        <f>'[1]V, inciso o) (OP)'!AA108</f>
        <v>Construcción de pavimento de concreto hidráulico, banquetas, adecuaciones de la red sanitaria e hidráulica en la Av. D, colonia El Tigre II, municipio de Zapopan, Jalisco, tramo 1.</v>
      </c>
      <c r="G247" s="6" t="s">
        <v>3308</v>
      </c>
      <c r="H247" s="39">
        <v>1480216.87</v>
      </c>
      <c r="I247" s="6" t="s">
        <v>622</v>
      </c>
      <c r="J247" s="6" t="str">
        <f>'[1]V, inciso o) (OP)'!M108</f>
        <v>JOSE SERGIO</v>
      </c>
      <c r="K247" s="7" t="str">
        <f>'[1]V, inciso o) (OP)'!N108</f>
        <v>CARMONA</v>
      </c>
      <c r="L247" s="7" t="str">
        <f>'[1]V, inciso o) (OP)'!O108</f>
        <v>RUVALCABA</v>
      </c>
      <c r="M247" s="6" t="s">
        <v>3074</v>
      </c>
      <c r="N247" s="7" t="str">
        <f>'[1]V, inciso o) (OP)'!Q108</f>
        <v>QCP1307172S6</v>
      </c>
      <c r="O247" s="11">
        <f>'[1]V, inciso o) (OP)'!Y108</f>
        <v>1480216.87</v>
      </c>
      <c r="P247" s="11">
        <v>1468795.4100000001</v>
      </c>
      <c r="Q247" s="7" t="s">
        <v>623</v>
      </c>
      <c r="R247" s="11">
        <f>O247/796</f>
        <v>1859.5689321608043</v>
      </c>
      <c r="S247" s="7" t="s">
        <v>41</v>
      </c>
      <c r="T247" s="12">
        <v>365</v>
      </c>
      <c r="U247" s="13" t="s">
        <v>42</v>
      </c>
      <c r="V247" s="7" t="s">
        <v>43</v>
      </c>
      <c r="W247" s="10">
        <f>'[1]V, inciso o) (OP)'!AD108</f>
        <v>42667</v>
      </c>
      <c r="X247" s="10">
        <f>'[1]V, inciso o) (OP)'!AE108</f>
        <v>42719</v>
      </c>
      <c r="Y247" s="7" t="s">
        <v>380</v>
      </c>
      <c r="Z247" s="7" t="s">
        <v>45</v>
      </c>
      <c r="AA247" s="7" t="s">
        <v>46</v>
      </c>
      <c r="AB247" s="21" t="s">
        <v>1402</v>
      </c>
      <c r="AC247" s="6" t="s">
        <v>2438</v>
      </c>
      <c r="AD247" s="6"/>
    </row>
    <row r="248" spans="1:30" ht="69.95" customHeight="1">
      <c r="A248" s="34">
        <v>238</v>
      </c>
      <c r="B248" s="7">
        <v>2016</v>
      </c>
      <c r="C248" s="6" t="str">
        <f>'[1]V, inciso p) (OP)'!B147</f>
        <v>Licitación por Invitación Restringida</v>
      </c>
      <c r="D248" s="6" t="str">
        <f>'[1]V, inciso p) (OP)'!D147</f>
        <v>DOPI-MUN-R33-PAV-CI-238-2016</v>
      </c>
      <c r="E248" s="10">
        <f>'[1]V, inciso p) (OP)'!AD147</f>
        <v>42727</v>
      </c>
      <c r="F248" s="6" t="str">
        <f>'[1]V, inciso p) (OP)'!AL147</f>
        <v>Pavimentación con empedrado zampeado en la calle Mármol, de calle Cantera al arroyo y calle Obsidiana, de calle Opalo a calle Coral, en la colonia Pedregal de Zapopan (Loma el Pedregal), en Zapopan, Jalisco</v>
      </c>
      <c r="G248" s="6" t="s">
        <v>3318</v>
      </c>
      <c r="H248" s="39">
        <v>2216780.09</v>
      </c>
      <c r="I248" s="6" t="str">
        <f>'[1]V, inciso p) (OP)'!AS147</f>
        <v>Colonia Loma el Pedregal</v>
      </c>
      <c r="J248" s="6" t="str">
        <f>'[1]V, inciso p) (OP)'!T147</f>
        <v>Hugo Armando</v>
      </c>
      <c r="K248" s="7" t="str">
        <f>'[1]V, inciso p) (OP)'!U147</f>
        <v>Prieto</v>
      </c>
      <c r="L248" s="7" t="str">
        <f>'[1]V, inciso p) (OP)'!V147</f>
        <v>Jiménez</v>
      </c>
      <c r="M248" s="6" t="s">
        <v>2978</v>
      </c>
      <c r="N248" s="7" t="str">
        <f>'[1]V, inciso p) (OP)'!X147</f>
        <v>CRP870708I62</v>
      </c>
      <c r="O248" s="11">
        <f>'[1]V, inciso p) (OP)'!AG147</f>
        <v>2216780.09</v>
      </c>
      <c r="P248" s="11">
        <v>2216780.04</v>
      </c>
      <c r="Q248" s="7" t="s">
        <v>624</v>
      </c>
      <c r="R248" s="11">
        <f>O248/1502.75</f>
        <v>1475.148953585094</v>
      </c>
      <c r="S248" s="7" t="s">
        <v>41</v>
      </c>
      <c r="T248" s="12">
        <v>202</v>
      </c>
      <c r="U248" s="13" t="s">
        <v>42</v>
      </c>
      <c r="V248" s="7" t="s">
        <v>43</v>
      </c>
      <c r="W248" s="10">
        <f>'[1]V, inciso p) (OP)'!AM147</f>
        <v>42730</v>
      </c>
      <c r="X248" s="10">
        <f>'[1]V, inciso p) (OP)'!AN147</f>
        <v>42880</v>
      </c>
      <c r="Y248" s="7" t="s">
        <v>380</v>
      </c>
      <c r="Z248" s="7" t="s">
        <v>625</v>
      </c>
      <c r="AA248" s="7" t="s">
        <v>46</v>
      </c>
      <c r="AB248" s="21" t="s">
        <v>1520</v>
      </c>
      <c r="AC248" s="6" t="s">
        <v>2438</v>
      </c>
      <c r="AD248" s="6"/>
    </row>
    <row r="249" spans="1:30" ht="69.95" customHeight="1">
      <c r="A249" s="34">
        <v>239</v>
      </c>
      <c r="B249" s="7">
        <v>2016</v>
      </c>
      <c r="C249" s="6" t="s">
        <v>62</v>
      </c>
      <c r="D249" s="6" t="str">
        <f>'[1]V, inciso o) (OP)'!C109</f>
        <v>DOPI-MUN-RM-IE-AD-239-2016</v>
      </c>
      <c r="E249" s="10">
        <f>'[1]V, inciso o) (OP)'!V109</f>
        <v>42657</v>
      </c>
      <c r="F249" s="6" t="str">
        <f>'[1]V, inciso o) (OP)'!AA109</f>
        <v>Suministro y colocación de estructuras de protección de rayos ultravioleta en el Jardín de Niños Maria Trinidad Martínez Yañez, clave CT14DJN1601J, colonia Villas Perisur, municipio de Zapopan, Jalisco</v>
      </c>
      <c r="G249" s="6" t="s">
        <v>3308</v>
      </c>
      <c r="H249" s="39">
        <v>315620.47999999998</v>
      </c>
      <c r="I249" s="6" t="s">
        <v>626</v>
      </c>
      <c r="J249" s="6" t="str">
        <f>'[1]V, inciso o) (OP)'!G109</f>
        <v xml:space="preserve">GUILLERMO ALBERTO </v>
      </c>
      <c r="K249" s="7" t="str">
        <f>'[1]V, inciso o) (OP)'!H109</f>
        <v>RODRIGUEZ</v>
      </c>
      <c r="L249" s="7" t="str">
        <f>'[1]V, inciso o) (OP)'!I109</f>
        <v>ALLENDE</v>
      </c>
      <c r="M249" s="6" t="s">
        <v>3075</v>
      </c>
      <c r="N249" s="7" t="str">
        <f>'[1]V, inciso o) (OP)'!K109</f>
        <v>GCM121112J86</v>
      </c>
      <c r="O249" s="11">
        <f t="shared" ref="O249:O256" si="7">H249</f>
        <v>315620.47999999998</v>
      </c>
      <c r="P249" s="11">
        <v>271638.52</v>
      </c>
      <c r="Q249" s="7" t="s">
        <v>627</v>
      </c>
      <c r="R249" s="11">
        <f>O249/263</f>
        <v>1200.0778707224333</v>
      </c>
      <c r="S249" s="7" t="s">
        <v>41</v>
      </c>
      <c r="T249" s="12">
        <v>386</v>
      </c>
      <c r="U249" s="13" t="s">
        <v>42</v>
      </c>
      <c r="V249" s="7" t="s">
        <v>43</v>
      </c>
      <c r="W249" s="10">
        <f>'[1]V, inciso o) (OP)'!AD109</f>
        <v>42660</v>
      </c>
      <c r="X249" s="10">
        <f>'[1]V, inciso o) (OP)'!AE109</f>
        <v>42704</v>
      </c>
      <c r="Y249" s="7" t="s">
        <v>431</v>
      </c>
      <c r="Z249" s="7" t="s">
        <v>88</v>
      </c>
      <c r="AA249" s="7" t="s">
        <v>628</v>
      </c>
      <c r="AB249" s="21" t="s">
        <v>3284</v>
      </c>
      <c r="AC249" s="6" t="s">
        <v>2438</v>
      </c>
      <c r="AD249" s="6"/>
    </row>
    <row r="250" spans="1:30" ht="69.95" customHeight="1">
      <c r="A250" s="34">
        <v>240</v>
      </c>
      <c r="B250" s="7">
        <v>2016</v>
      </c>
      <c r="C250" s="6" t="s">
        <v>62</v>
      </c>
      <c r="D250" s="6" t="str">
        <f>'[1]V, inciso o) (OP)'!C110</f>
        <v>DOPI-MUN-RM-IU-AD-240-2016</v>
      </c>
      <c r="E250" s="10">
        <f>'[1]V, inciso o) (OP)'!V110</f>
        <v>42692</v>
      </c>
      <c r="F250" s="6" t="str">
        <f>'[1]V, inciso o) (OP)'!AA110</f>
        <v>Primera etapa de la renovación de imagen urbana en la localidad de Tesistan, municipio de Zapopan, Jalisco</v>
      </c>
      <c r="G250" s="6" t="s">
        <v>63</v>
      </c>
      <c r="H250" s="39">
        <v>1495635.47</v>
      </c>
      <c r="I250" s="6" t="s">
        <v>553</v>
      </c>
      <c r="J250" s="6" t="str">
        <f>'[1]V, inciso o) (OP)'!G110</f>
        <v xml:space="preserve">ALEJANDRO LUIS </v>
      </c>
      <c r="K250" s="7" t="str">
        <f>'[1]V, inciso o) (OP)'!H110</f>
        <v xml:space="preserve">VAIDOVITS </v>
      </c>
      <c r="L250" s="7" t="str">
        <f>'[1]V, inciso o) (OP)'!I110</f>
        <v xml:space="preserve"> SCHNURER</v>
      </c>
      <c r="M250" s="6" t="s">
        <v>3076</v>
      </c>
      <c r="N250" s="7" t="str">
        <f>'[1]V, inciso o) (OP)'!K110</f>
        <v>PME930817EV7</v>
      </c>
      <c r="O250" s="11">
        <f t="shared" si="7"/>
        <v>1495635.47</v>
      </c>
      <c r="P250" s="11">
        <v>641390.82999999996</v>
      </c>
      <c r="Q250" s="7" t="s">
        <v>629</v>
      </c>
      <c r="R250" s="11">
        <f>O250/3000</f>
        <v>498.54515666666668</v>
      </c>
      <c r="S250" s="7" t="s">
        <v>41</v>
      </c>
      <c r="T250" s="12">
        <v>62891</v>
      </c>
      <c r="U250" s="13" t="s">
        <v>42</v>
      </c>
      <c r="V250" s="7" t="s">
        <v>43</v>
      </c>
      <c r="W250" s="10">
        <f>'[1]V, inciso o) (OP)'!AD110</f>
        <v>42696</v>
      </c>
      <c r="X250" s="10">
        <f>'[1]V, inciso o) (OP)'!AE110</f>
        <v>42766</v>
      </c>
      <c r="Y250" s="7" t="s">
        <v>331</v>
      </c>
      <c r="Z250" s="7" t="s">
        <v>332</v>
      </c>
      <c r="AA250" s="7" t="s">
        <v>116</v>
      </c>
      <c r="AB250" s="21" t="s">
        <v>1463</v>
      </c>
      <c r="AC250" s="6" t="s">
        <v>2438</v>
      </c>
      <c r="AD250" s="6"/>
    </row>
    <row r="251" spans="1:30" ht="69.95" customHeight="1">
      <c r="A251" s="34">
        <v>241</v>
      </c>
      <c r="B251" s="7">
        <v>2016</v>
      </c>
      <c r="C251" s="6" t="s">
        <v>62</v>
      </c>
      <c r="D251" s="6" t="str">
        <f>'[1]V, inciso o) (OP)'!C111</f>
        <v>DOPI-MUN-RM-IM-AD-241-2016</v>
      </c>
      <c r="E251" s="10">
        <f>'[1]V, inciso o) (OP)'!V111</f>
        <v>42671</v>
      </c>
      <c r="F251" s="6" t="str">
        <f>'[1]V, inciso o) (OP)'!AA111</f>
        <v>Rehabiitación de instalación eléctrica e hidrosanitaria, estructura de protección de rayos ultravioleta y albañilería en el Centro de Desarrollo Infantil del Dif No. 1 Carmen Arce Zuno, ubicado en la colonia Constitución, municipio de Zapopan, Jalisco.</v>
      </c>
      <c r="G251" s="6" t="s">
        <v>3308</v>
      </c>
      <c r="H251" s="39">
        <v>1276850.24</v>
      </c>
      <c r="I251" s="6" t="s">
        <v>630</v>
      </c>
      <c r="J251" s="6" t="str">
        <f>'[1]V, inciso o) (OP)'!G111</f>
        <v>OSCAR LUIS</v>
      </c>
      <c r="K251" s="7" t="str">
        <f>'[1]V, inciso o) (OP)'!H111</f>
        <v>CHAVEZ</v>
      </c>
      <c r="L251" s="7" t="str">
        <f>'[1]V, inciso o) (OP)'!I111</f>
        <v>GONZALEZ</v>
      </c>
      <c r="M251" s="6" t="s">
        <v>3077</v>
      </c>
      <c r="N251" s="7" t="str">
        <f>'[1]V, inciso o) (OP)'!K111</f>
        <v>ETR070417NS8</v>
      </c>
      <c r="O251" s="11">
        <f t="shared" si="7"/>
        <v>1276850.24</v>
      </c>
      <c r="P251" s="11">
        <v>933415.83</v>
      </c>
      <c r="Q251" s="7" t="s">
        <v>631</v>
      </c>
      <c r="R251" s="11">
        <f>O251/343</f>
        <v>3722.5954518950439</v>
      </c>
      <c r="S251" s="7" t="s">
        <v>41</v>
      </c>
      <c r="T251" s="12">
        <v>338</v>
      </c>
      <c r="U251" s="13" t="s">
        <v>42</v>
      </c>
      <c r="V251" s="7" t="s">
        <v>43</v>
      </c>
      <c r="W251" s="10">
        <f>'[1]V, inciso o) (OP)'!AD111</f>
        <v>42674</v>
      </c>
      <c r="X251" s="10">
        <f>'[1]V, inciso o) (OP)'!AE111</f>
        <v>42735</v>
      </c>
      <c r="Y251" s="7" t="s">
        <v>599</v>
      </c>
      <c r="Z251" s="7" t="s">
        <v>307</v>
      </c>
      <c r="AA251" s="7" t="s">
        <v>61</v>
      </c>
      <c r="AB251" s="21" t="s">
        <v>1464</v>
      </c>
      <c r="AC251" s="6" t="s">
        <v>2438</v>
      </c>
      <c r="AD251" s="6"/>
    </row>
    <row r="252" spans="1:30" ht="69.95" customHeight="1">
      <c r="A252" s="34">
        <v>242</v>
      </c>
      <c r="B252" s="7">
        <v>2016</v>
      </c>
      <c r="C252" s="6" t="s">
        <v>62</v>
      </c>
      <c r="D252" s="6" t="str">
        <f>'[1]V, inciso o) (OP)'!C112</f>
        <v>DOPI-MUN-RM-IM-AD-242-2016</v>
      </c>
      <c r="E252" s="10">
        <f>'[1]V, inciso o) (OP)'!V112</f>
        <v>42671</v>
      </c>
      <c r="F252" s="32" t="str">
        <f>'[1]V, inciso o) (OP)'!AA112</f>
        <v>Rehabilitación de carpintería, instalación eléctrica, hidráulica, sanitaria, estructuras de protección de rayos ultravioleta, pisos, juegos infantiles, herrería y albañilería en el Centro de Desarrollo Infantil del Dif No. 2 Pablo Casals, ubicado en la colonia Valle de Atemajac; Rehabilitación de instalación eléctrica, hidráulica y sanitaria, herrería, albañilería, pisos en el Centro de Desarrollo Infantil del Dif No. 9 Villa de Guadalupe, ubicado en la colonia Villa de Guadalupe, municipio de Zapopan, Jalisco.</v>
      </c>
      <c r="G252" s="6" t="s">
        <v>3308</v>
      </c>
      <c r="H252" s="39">
        <v>1510250.48</v>
      </c>
      <c r="I252" s="6" t="s">
        <v>632</v>
      </c>
      <c r="J252" s="6" t="str">
        <f>'[1]V, inciso o) (OP)'!G112</f>
        <v>ORLANDO</v>
      </c>
      <c r="K252" s="7" t="str">
        <f>'[1]V, inciso o) (OP)'!H112</f>
        <v>HIJAR</v>
      </c>
      <c r="L252" s="7" t="str">
        <f>'[1]V, inciso o) (OP)'!I112</f>
        <v>CASILLAS</v>
      </c>
      <c r="M252" s="6" t="s">
        <v>3078</v>
      </c>
      <c r="N252" s="7" t="str">
        <f>'[1]V, inciso o) (OP)'!K112</f>
        <v>CUC121107NV2</v>
      </c>
      <c r="O252" s="11">
        <f t="shared" si="7"/>
        <v>1510250.48</v>
      </c>
      <c r="P252" s="11">
        <v>1330136.3999999999</v>
      </c>
      <c r="Q252" s="7" t="s">
        <v>633</v>
      </c>
      <c r="R252" s="11">
        <f>O252/4053</f>
        <v>372.62533432025657</v>
      </c>
      <c r="S252" s="7" t="s">
        <v>41</v>
      </c>
      <c r="T252" s="12">
        <v>676</v>
      </c>
      <c r="U252" s="13" t="s">
        <v>42</v>
      </c>
      <c r="V252" s="7" t="s">
        <v>43</v>
      </c>
      <c r="W252" s="10">
        <f>'[1]V, inciso o) (OP)'!AD112</f>
        <v>42674</v>
      </c>
      <c r="X252" s="10">
        <f>'[1]V, inciso o) (OP)'!AE112</f>
        <v>42735</v>
      </c>
      <c r="Y252" s="7" t="s">
        <v>599</v>
      </c>
      <c r="Z252" s="7" t="s">
        <v>307</v>
      </c>
      <c r="AA252" s="7" t="s">
        <v>61</v>
      </c>
      <c r="AB252" s="21" t="s">
        <v>2572</v>
      </c>
      <c r="AC252" s="6" t="s">
        <v>2438</v>
      </c>
      <c r="AD252" s="6"/>
    </row>
    <row r="253" spans="1:30" ht="69.95" customHeight="1">
      <c r="A253" s="34">
        <v>243</v>
      </c>
      <c r="B253" s="7">
        <v>2016</v>
      </c>
      <c r="C253" s="6" t="s">
        <v>62</v>
      </c>
      <c r="D253" s="6" t="str">
        <f>'[1]V, inciso o) (OP)'!C113</f>
        <v>DOPI-MUN-RM-IM-AD-243-2016</v>
      </c>
      <c r="E253" s="10">
        <f>'[1]V, inciso o) (OP)'!V113</f>
        <v>42671</v>
      </c>
      <c r="F253" s="32" t="str">
        <f>'[1]V, inciso o) (OP)'!AA113</f>
        <v>Rehabilitación de carpintería, instalación eléctrica, hidráulica, sanitaria, estructuras de protección de rayos ultravioleta, pisos, construcción de aulas y albañilería en el Centro de Desarrollo Infantil del Dif No. 5 El Colli, ubicado en la colonia El Colli y en el Centro de Desarrollo Infantil del Dif No. 6 Tabachines, ubicado en la colonia Tabachines, municipio de Zapopan, Jalisco</v>
      </c>
      <c r="G253" s="6" t="s">
        <v>3308</v>
      </c>
      <c r="H253" s="39">
        <v>1368256.1</v>
      </c>
      <c r="I253" s="6" t="s">
        <v>634</v>
      </c>
      <c r="J253" s="6" t="str">
        <f>'[1]V, inciso o) (OP)'!G113</f>
        <v xml:space="preserve">EDUARDO </v>
      </c>
      <c r="K253" s="7" t="str">
        <f>'[1]V, inciso o) (OP)'!H113</f>
        <v>PLASCENCIA</v>
      </c>
      <c r="L253" s="7" t="str">
        <f>'[1]V, inciso o) (OP)'!I113</f>
        <v>MACIAS</v>
      </c>
      <c r="M253" s="6" t="s">
        <v>3079</v>
      </c>
      <c r="N253" s="7" t="str">
        <f>'[1]V, inciso o) (OP)'!K113</f>
        <v>CEP080129EK6</v>
      </c>
      <c r="O253" s="11">
        <f t="shared" si="7"/>
        <v>1368256.1</v>
      </c>
      <c r="P253" s="11">
        <v>1365596.03</v>
      </c>
      <c r="Q253" s="7" t="s">
        <v>635</v>
      </c>
      <c r="R253" s="11">
        <f>O253/1519</f>
        <v>900.76109282422658</v>
      </c>
      <c r="S253" s="7" t="s">
        <v>41</v>
      </c>
      <c r="T253" s="12">
        <v>687</v>
      </c>
      <c r="U253" s="13" t="s">
        <v>42</v>
      </c>
      <c r="V253" s="7" t="s">
        <v>43</v>
      </c>
      <c r="W253" s="10">
        <f>'[1]V, inciso o) (OP)'!AD113</f>
        <v>42674</v>
      </c>
      <c r="X253" s="10">
        <f>'[1]V, inciso o) (OP)'!AE113</f>
        <v>42735</v>
      </c>
      <c r="Y253" s="7" t="s">
        <v>599</v>
      </c>
      <c r="Z253" s="7" t="s">
        <v>307</v>
      </c>
      <c r="AA253" s="7" t="s">
        <v>61</v>
      </c>
      <c r="AB253" s="21" t="s">
        <v>1403</v>
      </c>
      <c r="AC253" s="6" t="s">
        <v>2438</v>
      </c>
      <c r="AD253" s="6"/>
    </row>
    <row r="254" spans="1:30" ht="69.95" customHeight="1">
      <c r="A254" s="34">
        <v>244</v>
      </c>
      <c r="B254" s="7">
        <v>2016</v>
      </c>
      <c r="C254" s="6" t="s">
        <v>62</v>
      </c>
      <c r="D254" s="6" t="str">
        <f>'[1]V, inciso o) (OP)'!C114</f>
        <v>DOPI-MUN-RM-IM-AD-244-2016</v>
      </c>
      <c r="E254" s="10">
        <f>'[1]V, inciso o) (OP)'!V114</f>
        <v>42671</v>
      </c>
      <c r="F254" s="32" t="str">
        <f>'[1]V, inciso o) (OP)'!AA114</f>
        <v>Construcción de muro perimetral y herrería en el Centro de Atención Infantil Comunitario del Dif No. 2 Santa Ana Tepetitlán, ubicado en la colonia Santa Ana Tepetitlán y en el Centro de Atención Infantil Comunitario del Dif No 1 La Higuera, ubicado en la colonia La Higuera, municipio de Zapopan, Jalisco.</v>
      </c>
      <c r="G254" s="6" t="s">
        <v>3308</v>
      </c>
      <c r="H254" s="39">
        <v>1495678.36</v>
      </c>
      <c r="I254" s="6" t="s">
        <v>636</v>
      </c>
      <c r="J254" s="6" t="str">
        <f>'[1]V, inciso o) (OP)'!G114</f>
        <v xml:space="preserve">EDUARDO </v>
      </c>
      <c r="K254" s="7" t="str">
        <f>'[1]V, inciso o) (OP)'!H114</f>
        <v>MORA</v>
      </c>
      <c r="L254" s="7" t="str">
        <f>'[1]V, inciso o) (OP)'!I114</f>
        <v>BLACKALLER</v>
      </c>
      <c r="M254" s="6" t="s">
        <v>1919</v>
      </c>
      <c r="N254" s="7" t="str">
        <f>'[1]V, inciso o) (OP)'!K114</f>
        <v>GCI070523CW4</v>
      </c>
      <c r="O254" s="11">
        <f t="shared" si="7"/>
        <v>1495678.36</v>
      </c>
      <c r="P254" s="11">
        <v>1449274.9499999997</v>
      </c>
      <c r="Q254" s="7" t="s">
        <v>637</v>
      </c>
      <c r="R254" s="11">
        <f>O254/148</f>
        <v>10105.934864864865</v>
      </c>
      <c r="S254" s="7" t="s">
        <v>41</v>
      </c>
      <c r="T254" s="12">
        <v>714</v>
      </c>
      <c r="U254" s="13" t="s">
        <v>42</v>
      </c>
      <c r="V254" s="7" t="s">
        <v>43</v>
      </c>
      <c r="W254" s="10">
        <f>'[1]V, inciso o) (OP)'!AD114</f>
        <v>42674</v>
      </c>
      <c r="X254" s="10">
        <f>'[1]V, inciso o) (OP)'!AE114</f>
        <v>42735</v>
      </c>
      <c r="Y254" s="7" t="s">
        <v>599</v>
      </c>
      <c r="Z254" s="7" t="s">
        <v>307</v>
      </c>
      <c r="AA254" s="7" t="s">
        <v>61</v>
      </c>
      <c r="AB254" s="21" t="s">
        <v>1465</v>
      </c>
      <c r="AC254" s="6" t="s">
        <v>2438</v>
      </c>
      <c r="AD254" s="6"/>
    </row>
    <row r="255" spans="1:30" ht="69.95" customHeight="1">
      <c r="A255" s="34">
        <v>245</v>
      </c>
      <c r="B255" s="7">
        <v>2016</v>
      </c>
      <c r="C255" s="6" t="s">
        <v>62</v>
      </c>
      <c r="D255" s="6" t="str">
        <f>'[1]V, inciso o) (OP)'!C115</f>
        <v>DOPI-MUN-RM-PAV-AD-245-2016</v>
      </c>
      <c r="E255" s="10">
        <f>'[1]V, inciso o) (OP)'!V115</f>
        <v>42692</v>
      </c>
      <c r="F255" s="32" t="str">
        <f>'[1]V, inciso o) (OP)'!AA115</f>
        <v>Reencarpetamiento de la vialidad, desbastado de la carpeta existente, nivelación de pozos de visita, cajas de válvulas, rejillas pluviales, bocas de tormenta y elementos estructurales que sobresalen de la rasante de la vialidad, calafateos, señaletica horizontal de la calle Jacarandas de Pablo Neruda a Paseo Loma Larga, en la colonia Colinas de San Javier, municipio de Zapopan, Jalisco.</v>
      </c>
      <c r="G255" s="6" t="s">
        <v>3308</v>
      </c>
      <c r="H255" s="39">
        <v>1538300.1</v>
      </c>
      <c r="I255" s="6" t="s">
        <v>638</v>
      </c>
      <c r="J255" s="6" t="str">
        <f>'[1]V, inciso o) (OP)'!G115</f>
        <v>JOEL</v>
      </c>
      <c r="K255" s="7" t="str">
        <f>'[1]V, inciso o) (OP)'!H115</f>
        <v>ZULOAGA</v>
      </c>
      <c r="L255" s="7" t="str">
        <f>'[1]V, inciso o) (OP)'!I115</f>
        <v>ACEVES</v>
      </c>
      <c r="M255" s="6" t="s">
        <v>3080</v>
      </c>
      <c r="N255" s="7" t="str">
        <f>'[1]V, inciso o) (OP)'!K115</f>
        <v>TSC100210E48</v>
      </c>
      <c r="O255" s="11">
        <f t="shared" si="7"/>
        <v>1538300.1</v>
      </c>
      <c r="P255" s="11">
        <v>1254966.6300000001</v>
      </c>
      <c r="Q255" s="7" t="s">
        <v>639</v>
      </c>
      <c r="R255" s="11">
        <f>O255/3244</f>
        <v>474.19855117139338</v>
      </c>
      <c r="S255" s="7" t="s">
        <v>41</v>
      </c>
      <c r="T255" s="12">
        <v>6453</v>
      </c>
      <c r="U255" s="13" t="s">
        <v>42</v>
      </c>
      <c r="V255" s="7" t="s">
        <v>43</v>
      </c>
      <c r="W255" s="10">
        <f>'[1]V, inciso o) (OP)'!AD115</f>
        <v>42695</v>
      </c>
      <c r="X255" s="10">
        <f>'[1]V, inciso o) (OP)'!AE115</f>
        <v>42729</v>
      </c>
      <c r="Y255" s="7" t="s">
        <v>317</v>
      </c>
      <c r="Z255" s="7" t="s">
        <v>191</v>
      </c>
      <c r="AA255" s="7" t="s">
        <v>192</v>
      </c>
      <c r="AB255" s="21" t="s">
        <v>1404</v>
      </c>
      <c r="AC255" s="6" t="s">
        <v>2438</v>
      </c>
      <c r="AD255" s="6"/>
    </row>
    <row r="256" spans="1:30" ht="69.95" customHeight="1">
      <c r="A256" s="34">
        <v>246</v>
      </c>
      <c r="B256" s="7">
        <v>2016</v>
      </c>
      <c r="C256" s="6" t="s">
        <v>62</v>
      </c>
      <c r="D256" s="6" t="str">
        <f>'[1]V, inciso o) (OP)'!C116</f>
        <v>DOPI-MUN-RM-EM-AD-246-2016</v>
      </c>
      <c r="E256" s="10">
        <f>'[1]V, inciso o) (OP)'!V116</f>
        <v>42674</v>
      </c>
      <c r="F256" s="6" t="str">
        <f>'[1]V, inciso o) (OP)'!AA116</f>
        <v>Reconstrucción de habitación, baño y cubierta en vivienda ubicada en la calle López Mateos #61, en la colonia Santa Lucia, municipio de Zapopan, Jalisco</v>
      </c>
      <c r="G256" s="6" t="s">
        <v>63</v>
      </c>
      <c r="H256" s="39">
        <v>275935.40000000002</v>
      </c>
      <c r="I256" s="6" t="s">
        <v>640</v>
      </c>
      <c r="J256" s="6" t="str">
        <f>'[1]V, inciso o) (OP)'!G116</f>
        <v>CLAUDIA PATRICIA</v>
      </c>
      <c r="K256" s="7" t="str">
        <f>'[1]V, inciso o) (OP)'!H116</f>
        <v xml:space="preserve">SANCHEZ </v>
      </c>
      <c r="L256" s="7" t="str">
        <f>'[1]V, inciso o) (OP)'!I116</f>
        <v>VALLES</v>
      </c>
      <c r="M256" s="6" t="s">
        <v>3081</v>
      </c>
      <c r="N256" s="7" t="str">
        <f>'[1]V, inciso o) (OP)'!K116</f>
        <v>CJM121221Q73</v>
      </c>
      <c r="O256" s="11">
        <f t="shared" si="7"/>
        <v>275935.40000000002</v>
      </c>
      <c r="P256" s="11">
        <v>273039.63</v>
      </c>
      <c r="Q256" s="7" t="s">
        <v>641</v>
      </c>
      <c r="R256" s="11">
        <f>O256/50</f>
        <v>5518.7080000000005</v>
      </c>
      <c r="S256" s="7" t="s">
        <v>41</v>
      </c>
      <c r="T256" s="12">
        <v>5</v>
      </c>
      <c r="U256" s="13" t="s">
        <v>42</v>
      </c>
      <c r="V256" s="7" t="s">
        <v>43</v>
      </c>
      <c r="W256" s="10">
        <f>'[1]V, inciso o) (OP)'!AD116</f>
        <v>42675</v>
      </c>
      <c r="X256" s="10">
        <f>'[1]V, inciso o) (OP)'!AE116</f>
        <v>42719</v>
      </c>
      <c r="Y256" s="7" t="s">
        <v>331</v>
      </c>
      <c r="Z256" s="7" t="s">
        <v>332</v>
      </c>
      <c r="AA256" s="7" t="s">
        <v>116</v>
      </c>
      <c r="AB256" s="21" t="s">
        <v>1521</v>
      </c>
      <c r="AC256" s="6" t="s">
        <v>2438</v>
      </c>
      <c r="AD256" s="6"/>
    </row>
    <row r="257" spans="1:30" ht="69.95" customHeight="1">
      <c r="A257" s="34">
        <v>248</v>
      </c>
      <c r="B257" s="7">
        <v>2016</v>
      </c>
      <c r="C257" s="6" t="s">
        <v>62</v>
      </c>
      <c r="D257" s="6" t="str">
        <f>'[1]V, inciso o) (OP)'!C117</f>
        <v>DOPI-MUN-RM-ELE-AD-248-2016</v>
      </c>
      <c r="E257" s="10">
        <f>'[1]V, inciso o) (OP)'!V117</f>
        <v>42706</v>
      </c>
      <c r="F257" s="6" t="str">
        <f>'[1]V, inciso o) (OP)'!AA117</f>
        <v>Eléctrificación de pozo en el Ejido Copalita y pozo en la localidad de Cerca Morada, municipio de Zapopan, Jalisco</v>
      </c>
      <c r="G257" s="6" t="s">
        <v>3308</v>
      </c>
      <c r="H257" s="39">
        <v>969037.98</v>
      </c>
      <c r="I257" s="6" t="s">
        <v>642</v>
      </c>
      <c r="J257" s="6" t="str">
        <f>'[1]V, inciso o) (OP)'!M117</f>
        <v>PIA LORENA</v>
      </c>
      <c r="K257" s="7" t="str">
        <f>'[1]V, inciso o) (OP)'!N117</f>
        <v>BUENROSTRO</v>
      </c>
      <c r="L257" s="7" t="str">
        <f>'[1]V, inciso o) (OP)'!O117</f>
        <v>AHUED</v>
      </c>
      <c r="M257" s="6" t="s">
        <v>3082</v>
      </c>
      <c r="N257" s="7" t="str">
        <f>'[1]V, inciso o) (OP)'!Q117</f>
        <v>BCO070129512</v>
      </c>
      <c r="O257" s="11">
        <f>'[1]V, inciso o) (OP)'!Y117</f>
        <v>969037.98</v>
      </c>
      <c r="P257" s="11">
        <v>572860.31000000006</v>
      </c>
      <c r="Q257" s="7" t="s">
        <v>50</v>
      </c>
      <c r="R257" s="11">
        <f>O257</f>
        <v>969037.98</v>
      </c>
      <c r="S257" s="7" t="s">
        <v>41</v>
      </c>
      <c r="T257" s="12">
        <v>339</v>
      </c>
      <c r="U257" s="13" t="s">
        <v>42</v>
      </c>
      <c r="V257" s="43" t="s">
        <v>43</v>
      </c>
      <c r="W257" s="10">
        <f>'[1]V, inciso o) (OP)'!AD117</f>
        <v>42709</v>
      </c>
      <c r="X257" s="10">
        <f>'[1]V, inciso o) (OP)'!AE117</f>
        <v>42799</v>
      </c>
      <c r="Y257" s="7" t="s">
        <v>331</v>
      </c>
      <c r="Z257" s="7" t="s">
        <v>332</v>
      </c>
      <c r="AA257" s="7" t="s">
        <v>116</v>
      </c>
      <c r="AB257" s="21" t="s">
        <v>1405</v>
      </c>
      <c r="AC257" s="6" t="s">
        <v>2438</v>
      </c>
      <c r="AD257" s="6"/>
    </row>
    <row r="258" spans="1:30" ht="69.95" customHeight="1">
      <c r="A258" s="34">
        <v>249</v>
      </c>
      <c r="B258" s="7">
        <v>2016</v>
      </c>
      <c r="C258" s="6" t="s">
        <v>62</v>
      </c>
      <c r="D258" s="6" t="str">
        <f>'[1]V, inciso o) (OP)'!C118</f>
        <v>DOPI-MUN-R33-IS-AD-249-2016</v>
      </c>
      <c r="E258" s="10">
        <f>'[1]V, inciso o) (OP)'!V118</f>
        <v>42699</v>
      </c>
      <c r="F258" s="6" t="str">
        <f>'[1]V, inciso o) (OP)'!AA118</f>
        <v>Construcción de línea de drenaje sanitario de 16" en calle Central, de calle del Bosque al Arroyo, en la colonia el Tizate, en el municipio de Zapopan, Jalisco.</v>
      </c>
      <c r="G258" s="6" t="s">
        <v>3318</v>
      </c>
      <c r="H258" s="39">
        <v>1405850.23</v>
      </c>
      <c r="I258" s="6" t="s">
        <v>643</v>
      </c>
      <c r="J258" s="6" t="str">
        <f>'[1]V, inciso o) (OP)'!M118</f>
        <v>JOSE DE JESUS</v>
      </c>
      <c r="K258" s="7" t="str">
        <f>'[1]V, inciso o) (OP)'!N118</f>
        <v>PALAFOX</v>
      </c>
      <c r="L258" s="7" t="str">
        <f>'[1]V, inciso o) (OP)'!O118</f>
        <v>VILLEGAS</v>
      </c>
      <c r="M258" s="6" t="s">
        <v>1874</v>
      </c>
      <c r="N258" s="7" t="str">
        <f>'[1]V, inciso o) (OP)'!Q118</f>
        <v>MCO1510113H8</v>
      </c>
      <c r="O258" s="11">
        <f>'[1]V, inciso o) (OP)'!Y118</f>
        <v>1405850.23</v>
      </c>
      <c r="P258" s="11">
        <v>1405849.52</v>
      </c>
      <c r="Q258" s="7" t="s">
        <v>644</v>
      </c>
      <c r="R258" s="11">
        <f>O258/515.8</f>
        <v>2725.5723730127957</v>
      </c>
      <c r="S258" s="7" t="s">
        <v>41</v>
      </c>
      <c r="T258" s="12">
        <v>122</v>
      </c>
      <c r="U258" s="13" t="s">
        <v>42</v>
      </c>
      <c r="V258" s="7" t="s">
        <v>43</v>
      </c>
      <c r="W258" s="10">
        <f>'[1]V, inciso o) (OP)'!AD118</f>
        <v>42702</v>
      </c>
      <c r="X258" s="10">
        <f>'[1]V, inciso o) (OP)'!AE118</f>
        <v>42762</v>
      </c>
      <c r="Y258" s="7" t="s">
        <v>323</v>
      </c>
      <c r="Z258" s="7" t="s">
        <v>231</v>
      </c>
      <c r="AA258" s="7" t="s">
        <v>143</v>
      </c>
      <c r="AB258" s="21" t="s">
        <v>1466</v>
      </c>
      <c r="AC258" s="6" t="s">
        <v>2438</v>
      </c>
      <c r="AD258" s="6"/>
    </row>
    <row r="259" spans="1:30" ht="69.95" customHeight="1">
      <c r="A259" s="34">
        <v>250</v>
      </c>
      <c r="B259" s="7">
        <v>2016</v>
      </c>
      <c r="C259" s="6" t="s">
        <v>62</v>
      </c>
      <c r="D259" s="6" t="str">
        <f>'[1]V, inciso o) (OP)'!C119</f>
        <v>DOPI-MUN-RM-PROY-AD-250-2016</v>
      </c>
      <c r="E259" s="10">
        <f>'[1]V, inciso o) (OP)'!V119</f>
        <v>42699</v>
      </c>
      <c r="F259" s="6" t="str">
        <f>'[1]V, inciso o) (OP)'!AA119</f>
        <v>Estudios básicos topográficos para diferentes obras 2016, tercera etapa, del municipio de Zapopan, Jalisco.</v>
      </c>
      <c r="G259" s="6" t="s">
        <v>3308</v>
      </c>
      <c r="H259" s="39">
        <v>1365001</v>
      </c>
      <c r="I259" s="6" t="s">
        <v>120</v>
      </c>
      <c r="J259" s="6" t="str">
        <f>'[1]V, inciso o) (OP)'!M119</f>
        <v>GABRIEL</v>
      </c>
      <c r="K259" s="7" t="str">
        <f>'[1]V, inciso o) (OP)'!N119</f>
        <v xml:space="preserve">FRANCO </v>
      </c>
      <c r="L259" s="7" t="str">
        <f>'[1]V, inciso o) (OP)'!O119</f>
        <v>ALATORRE</v>
      </c>
      <c r="M259" s="6" t="s">
        <v>2212</v>
      </c>
      <c r="N259" s="7" t="str">
        <f>'[1]V, inciso o) (OP)'!Q119</f>
        <v>COM141015F48</v>
      </c>
      <c r="O259" s="11">
        <f>'[1]V, inciso o) (OP)'!Y119</f>
        <v>1365001</v>
      </c>
      <c r="P259" s="11">
        <v>1365000.99</v>
      </c>
      <c r="Q259" s="7" t="s">
        <v>611</v>
      </c>
      <c r="R259" s="11">
        <f>O259</f>
        <v>1365001</v>
      </c>
      <c r="S259" s="7" t="s">
        <v>121</v>
      </c>
      <c r="T259" s="12" t="s">
        <v>121</v>
      </c>
      <c r="U259" s="13" t="s">
        <v>42</v>
      </c>
      <c r="V259" s="7" t="s">
        <v>43</v>
      </c>
      <c r="W259" s="10">
        <f>'[1]V, inciso o) (OP)'!AD119</f>
        <v>42702</v>
      </c>
      <c r="X259" s="10">
        <f>'[1]V, inciso o) (OP)'!AE119</f>
        <v>42855</v>
      </c>
      <c r="Y259" s="7" t="s">
        <v>358</v>
      </c>
      <c r="Z259" s="7" t="s">
        <v>592</v>
      </c>
      <c r="AA259" s="7" t="s">
        <v>135</v>
      </c>
      <c r="AB259" s="21" t="s">
        <v>2914</v>
      </c>
      <c r="AC259" s="6" t="s">
        <v>2438</v>
      </c>
      <c r="AD259" s="6"/>
    </row>
    <row r="260" spans="1:30" ht="69.95" customHeight="1">
      <c r="A260" s="34">
        <v>251</v>
      </c>
      <c r="B260" s="7">
        <v>2016</v>
      </c>
      <c r="C260" s="6" t="s">
        <v>62</v>
      </c>
      <c r="D260" s="6" t="str">
        <f>'[1]V, inciso o) (OP)'!C120</f>
        <v>DOPI-MUN-R33-IH-AD-251-2016</v>
      </c>
      <c r="E260" s="10">
        <f>'[1]V, inciso o) (OP)'!V120</f>
        <v>42699</v>
      </c>
      <c r="F260" s="6" t="str">
        <f>'[1]V, inciso o) (OP)'!AA120</f>
        <v>Construcción de línea de conducción de agua potable, en la localidad Los Patios, de pozo Los Patios A Conexión Existente, en el municipio de Zapopan, Jalisco.</v>
      </c>
      <c r="G260" s="6" t="s">
        <v>3318</v>
      </c>
      <c r="H260" s="39">
        <v>1475636.47</v>
      </c>
      <c r="I260" s="6" t="s">
        <v>645</v>
      </c>
      <c r="J260" s="6" t="str">
        <f>'[1]V, inciso o) (OP)'!M120</f>
        <v>JOSE SERGIO</v>
      </c>
      <c r="K260" s="7" t="str">
        <f>'[1]V, inciso o) (OP)'!N120</f>
        <v>CARMONA</v>
      </c>
      <c r="L260" s="7" t="str">
        <f>'[1]V, inciso o) (OP)'!O120</f>
        <v>RUVALCABA</v>
      </c>
      <c r="M260" s="6" t="s">
        <v>3074</v>
      </c>
      <c r="N260" s="7" t="str">
        <f>'[1]V, inciso o) (OP)'!Q120</f>
        <v>QCP1307172S6</v>
      </c>
      <c r="O260" s="11">
        <f>'[1]V, inciso o) (OP)'!Y120</f>
        <v>1475636.47</v>
      </c>
      <c r="P260" s="11">
        <v>1475635.0500000003</v>
      </c>
      <c r="Q260" s="7" t="s">
        <v>646</v>
      </c>
      <c r="R260" s="11">
        <f>O260/3240</f>
        <v>455.44335493827157</v>
      </c>
      <c r="S260" s="7" t="s">
        <v>41</v>
      </c>
      <c r="T260" s="12">
        <v>39</v>
      </c>
      <c r="U260" s="13" t="s">
        <v>42</v>
      </c>
      <c r="V260" s="7" t="s">
        <v>43</v>
      </c>
      <c r="W260" s="10">
        <f>'[1]V, inciso o) (OP)'!AD120</f>
        <v>42702</v>
      </c>
      <c r="X260" s="10">
        <f>'[1]V, inciso o) (OP)'!AE120</f>
        <v>42852</v>
      </c>
      <c r="Y260" s="7" t="s">
        <v>484</v>
      </c>
      <c r="Z260" s="7" t="s">
        <v>485</v>
      </c>
      <c r="AA260" s="7" t="s">
        <v>94</v>
      </c>
      <c r="AB260" s="21" t="s">
        <v>1467</v>
      </c>
      <c r="AC260" s="6" t="s">
        <v>2438</v>
      </c>
      <c r="AD260" s="6"/>
    </row>
    <row r="261" spans="1:30" ht="69.95" customHeight="1">
      <c r="A261" s="34">
        <v>252</v>
      </c>
      <c r="B261" s="7">
        <v>2016</v>
      </c>
      <c r="C261" s="6" t="s">
        <v>62</v>
      </c>
      <c r="D261" s="6" t="str">
        <f>'[1]V, inciso o) (OP)'!C121</f>
        <v>DOPI-MUN-R33-IH-AD-252-2016</v>
      </c>
      <c r="E261" s="10">
        <f>'[1]V, inciso o) (OP)'!V121</f>
        <v>42699</v>
      </c>
      <c r="F261" s="6" t="str">
        <f>'[1]V, inciso o) (OP)'!AA121</f>
        <v>Construcción de línea de agua potable y drenaje sanitario en la calle Panorama, tramo 1, municipio de Zapopan, Jalisco.</v>
      </c>
      <c r="G261" s="6" t="s">
        <v>3318</v>
      </c>
      <c r="H261" s="39">
        <v>1298415.18</v>
      </c>
      <c r="I261" s="6" t="s">
        <v>647</v>
      </c>
      <c r="J261" s="6" t="str">
        <f>'[1]V, inciso o) (OP)'!M121</f>
        <v>JUAN PABLO</v>
      </c>
      <c r="K261" s="7" t="str">
        <f>'[1]V, inciso o) (OP)'!N121</f>
        <v>VERA</v>
      </c>
      <c r="L261" s="7" t="str">
        <f>'[1]V, inciso o) (OP)'!O121</f>
        <v>TAVARES</v>
      </c>
      <c r="M261" s="6" t="s">
        <v>3083</v>
      </c>
      <c r="N261" s="7" t="str">
        <f>'[1]V, inciso o) (OP)'!Q121</f>
        <v>LCO080228DN2</v>
      </c>
      <c r="O261" s="11">
        <f>'[1]V, inciso o) (OP)'!Y121</f>
        <v>1298415.18</v>
      </c>
      <c r="P261" s="11">
        <v>861081.86</v>
      </c>
      <c r="Q261" s="7" t="s">
        <v>648</v>
      </c>
      <c r="R261" s="11">
        <f>O261/362.52</f>
        <v>3581.6373717312149</v>
      </c>
      <c r="S261" s="7" t="s">
        <v>41</v>
      </c>
      <c r="T261" s="12">
        <v>98</v>
      </c>
      <c r="U261" s="13" t="s">
        <v>42</v>
      </c>
      <c r="V261" s="7" t="s">
        <v>43</v>
      </c>
      <c r="W261" s="10">
        <f>'[1]V, inciso o) (OP)'!AD121</f>
        <v>42702</v>
      </c>
      <c r="X261" s="10">
        <f>'[1]V, inciso o) (OP)'!AE121</f>
        <v>42792</v>
      </c>
      <c r="Y261" s="7" t="s">
        <v>431</v>
      </c>
      <c r="Z261" s="7" t="s">
        <v>181</v>
      </c>
      <c r="AA261" s="7" t="s">
        <v>89</v>
      </c>
      <c r="AB261" s="21" t="s">
        <v>1468</v>
      </c>
      <c r="AC261" s="6" t="s">
        <v>2438</v>
      </c>
      <c r="AD261" s="6"/>
    </row>
    <row r="262" spans="1:30" ht="69.95" customHeight="1">
      <c r="A262" s="34">
        <v>253</v>
      </c>
      <c r="B262" s="7">
        <v>2016</v>
      </c>
      <c r="C262" s="6" t="s">
        <v>62</v>
      </c>
      <c r="D262" s="6" t="str">
        <f>'[1]V, inciso o) (OP)'!C122</f>
        <v>DOPI-MUN-R33-IH-AD-253-2016</v>
      </c>
      <c r="E262" s="10">
        <f>'[1]V, inciso o) (OP)'!V122</f>
        <v>42699</v>
      </c>
      <c r="F262" s="32" t="str">
        <f>'[1]V, inciso o) (OP)'!AA122</f>
        <v>Construcción de línea de agua potable en la calle 22 de Junio, Privada 12 de Octubre, Prolongación Vicente Guerrero, Privada Niño Artillero 1, Privada Niño Artillero 2; Rehabilitación de drenaje sanitario en la calle Niño Artillero, en la colonia Indígena de Mezquitán I Sección, municipio de Zapopan, Jalisco.</v>
      </c>
      <c r="G262" s="6" t="s">
        <v>3318</v>
      </c>
      <c r="H262" s="38">
        <f>1140318.97+358970.38</f>
        <v>1499289.35</v>
      </c>
      <c r="I262" s="6" t="s">
        <v>649</v>
      </c>
      <c r="J262" s="6" t="str">
        <f>'[1]V, inciso o) (OP)'!M122</f>
        <v xml:space="preserve">RICARDO </v>
      </c>
      <c r="K262" s="7" t="str">
        <f>'[1]V, inciso o) (OP)'!N122</f>
        <v>RIZO</v>
      </c>
      <c r="L262" s="7" t="str">
        <f>'[1]V, inciso o) (OP)'!O122</f>
        <v>SOSA</v>
      </c>
      <c r="M262" s="6" t="s">
        <v>3084</v>
      </c>
      <c r="N262" s="7" t="str">
        <f>'[1]V, inciso o) (OP)'!Q122</f>
        <v>NEO080722M53</v>
      </c>
      <c r="O262" s="11">
        <f>'[1]V, inciso o) (OP)'!Y122</f>
        <v>1140318.97</v>
      </c>
      <c r="P262" s="11">
        <v>1470096.8199999998</v>
      </c>
      <c r="Q262" s="7" t="s">
        <v>650</v>
      </c>
      <c r="R262" s="11">
        <f>O262/318.38</f>
        <v>3581.6287769332243</v>
      </c>
      <c r="S262" s="7" t="s">
        <v>41</v>
      </c>
      <c r="T262" s="12">
        <v>215</v>
      </c>
      <c r="U262" s="13" t="s">
        <v>42</v>
      </c>
      <c r="V262" s="7" t="s">
        <v>43</v>
      </c>
      <c r="W262" s="10">
        <f>'[1]V, inciso o) (OP)'!AD122</f>
        <v>42702</v>
      </c>
      <c r="X262" s="10">
        <f>'[1]V, inciso o) (OP)'!AE122</f>
        <v>42822</v>
      </c>
      <c r="Y262" s="7" t="s">
        <v>345</v>
      </c>
      <c r="Z262" s="7" t="s">
        <v>346</v>
      </c>
      <c r="AA262" s="7" t="s">
        <v>347</v>
      </c>
      <c r="AB262" s="21" t="s">
        <v>1469</v>
      </c>
      <c r="AC262" s="6" t="s">
        <v>2438</v>
      </c>
      <c r="AD262" s="6"/>
    </row>
    <row r="263" spans="1:30" ht="69.95" customHeight="1">
      <c r="A263" s="34">
        <v>254</v>
      </c>
      <c r="B263" s="7">
        <v>2016</v>
      </c>
      <c r="C263" s="6" t="s">
        <v>62</v>
      </c>
      <c r="D263" s="6" t="str">
        <f>'[1]V, inciso o) (OP)'!C123</f>
        <v>DOPI-MUN-R33-IH-AD-254-2016</v>
      </c>
      <c r="E263" s="10">
        <f>'[1]V, inciso o) (OP)'!V123</f>
        <v>42699</v>
      </c>
      <c r="F263" s="6" t="str">
        <f>'[1]V, inciso o) (OP)'!AA123</f>
        <v>Construcción de línea agua potable en la calle Miguel Hidalgo, de calle Josefa Ortíz De Domínguez a Cerrada, en la colonia Indígena De Mezquitan I Sección, en el municipio de Zapopan, Jalisco.</v>
      </c>
      <c r="G263" s="6" t="s">
        <v>3318</v>
      </c>
      <c r="H263" s="39">
        <v>1010226.87</v>
      </c>
      <c r="I263" s="6" t="s">
        <v>649</v>
      </c>
      <c r="J263" s="6" t="str">
        <f>'[1]V, inciso o) (OP)'!M123</f>
        <v>GABINO</v>
      </c>
      <c r="K263" s="7" t="str">
        <f>'[1]V, inciso o) (OP)'!N123</f>
        <v>MONTUFAR</v>
      </c>
      <c r="L263" s="7" t="str">
        <f>'[1]V, inciso o) (OP)'!O123</f>
        <v>NUÑEZ</v>
      </c>
      <c r="M263" s="6" t="s">
        <v>3085</v>
      </c>
      <c r="N263" s="7" t="str">
        <f>'[1]V, inciso o) (OP)'!Q123</f>
        <v>DCO021029737</v>
      </c>
      <c r="O263" s="11">
        <f>'[1]V, inciso o) (OP)'!Y123</f>
        <v>1010226.87</v>
      </c>
      <c r="P263" s="11">
        <v>494464.37</v>
      </c>
      <c r="Q263" s="7" t="s">
        <v>651</v>
      </c>
      <c r="R263" s="11">
        <f>O263/841.71</f>
        <v>1200.2077556403035</v>
      </c>
      <c r="S263" s="7" t="s">
        <v>41</v>
      </c>
      <c r="T263" s="12">
        <v>176</v>
      </c>
      <c r="U263" s="13" t="s">
        <v>42</v>
      </c>
      <c r="V263" s="7" t="s">
        <v>43</v>
      </c>
      <c r="W263" s="10">
        <f>'[1]V, inciso o) (OP)'!AD123</f>
        <v>42702</v>
      </c>
      <c r="X263" s="10">
        <f>'[1]V, inciso o) (OP)'!AE123</f>
        <v>42822</v>
      </c>
      <c r="Y263" s="7" t="s">
        <v>345</v>
      </c>
      <c r="Z263" s="7" t="s">
        <v>346</v>
      </c>
      <c r="AA263" s="7" t="s">
        <v>347</v>
      </c>
      <c r="AB263" s="21" t="s">
        <v>1470</v>
      </c>
      <c r="AC263" s="6" t="s">
        <v>2438</v>
      </c>
      <c r="AD263" s="6"/>
    </row>
    <row r="264" spans="1:30" ht="69.95" customHeight="1">
      <c r="A264" s="34">
        <v>255</v>
      </c>
      <c r="B264" s="7">
        <v>2016</v>
      </c>
      <c r="C264" s="6" t="s">
        <v>62</v>
      </c>
      <c r="D264" s="6" t="str">
        <f>'[1]V, inciso o) (OP)'!C124</f>
        <v>DOPI-MUN-R33-PAV-AD-255-2016</v>
      </c>
      <c r="E264" s="10">
        <f>'[1]V, inciso o) (OP)'!V124</f>
        <v>42699</v>
      </c>
      <c r="F264" s="6" t="str">
        <f>'[1]V, inciso o) (OP)'!AA124</f>
        <v>Construcción de pavimento zamepado en la calle Laureles, de calle Paseo de los Manzanos a calle Palmeras, en la colonia Lomas de Tabachines  I sección, en el municipio de Zapopan, Jalisco. Frente 1</v>
      </c>
      <c r="G264" s="6" t="s">
        <v>3318</v>
      </c>
      <c r="H264" s="39">
        <v>1494784.36</v>
      </c>
      <c r="I264" s="6" t="s">
        <v>90</v>
      </c>
      <c r="J264" s="6" t="str">
        <f>'[1]V, inciso o) (OP)'!M124</f>
        <v>JOSE GILBERTO</v>
      </c>
      <c r="K264" s="7" t="str">
        <f>'[1]V, inciso o) (OP)'!N124</f>
        <v>LUJAN</v>
      </c>
      <c r="L264" s="7" t="str">
        <f>'[1]V, inciso o) (OP)'!O124</f>
        <v>BARAJAS</v>
      </c>
      <c r="M264" s="6" t="s">
        <v>3086</v>
      </c>
      <c r="N264" s="7" t="str">
        <f>'[1]V, inciso o) (OP)'!Q124</f>
        <v>GIN1202272F9</v>
      </c>
      <c r="O264" s="11">
        <f>'[1]V, inciso o) (OP)'!Y124</f>
        <v>1494784.36</v>
      </c>
      <c r="P264" s="11">
        <v>1486997.92</v>
      </c>
      <c r="Q264" s="7" t="s">
        <v>652</v>
      </c>
      <c r="R264" s="11">
        <f>O264/1013.31</f>
        <v>1475.1501120091582</v>
      </c>
      <c r="S264" s="7" t="s">
        <v>41</v>
      </c>
      <c r="T264" s="12">
        <v>356</v>
      </c>
      <c r="U264" s="13" t="s">
        <v>42</v>
      </c>
      <c r="V264" s="7" t="s">
        <v>43</v>
      </c>
      <c r="W264" s="10">
        <f>'[1]V, inciso o) (OP)'!AD124</f>
        <v>42702</v>
      </c>
      <c r="X264" s="10">
        <f>'[1]V, inciso o) (OP)'!AE124</f>
        <v>42822</v>
      </c>
      <c r="Y264" s="7" t="s">
        <v>441</v>
      </c>
      <c r="Z264" s="7" t="s">
        <v>442</v>
      </c>
      <c r="AA264" s="7" t="s">
        <v>443</v>
      </c>
      <c r="AB264" s="21" t="s">
        <v>1471</v>
      </c>
      <c r="AC264" s="6" t="s">
        <v>2438</v>
      </c>
      <c r="AD264" s="6"/>
    </row>
    <row r="265" spans="1:30" ht="69.95" customHeight="1">
      <c r="A265" s="34">
        <v>256</v>
      </c>
      <c r="B265" s="7">
        <v>2016</v>
      </c>
      <c r="C265" s="6" t="s">
        <v>62</v>
      </c>
      <c r="D265" s="6" t="str">
        <f>'[1]V, inciso o) (OP)'!C125</f>
        <v>DOPI-MUN-R33-PAV-AD-256-2016</v>
      </c>
      <c r="E265" s="10">
        <f>'[1]V, inciso o) (OP)'!V125</f>
        <v>42699</v>
      </c>
      <c r="F265" s="6" t="str">
        <f>'[1]V, inciso o) (OP)'!AA125</f>
        <v>Pavimentación empedrado zampeado, línea de agua potable y drenaje sanitario,  en la calle Laurel, de calle Abelardo Rodríguez a calle Palmeras y calle Palmeras, de calle Laurel a Cerrada, en la colonia Emiliano Zapata, municipio de Zapopan Jalisco.</v>
      </c>
      <c r="G265" s="6" t="s">
        <v>3318</v>
      </c>
      <c r="H265" s="38">
        <v>1561553.06</v>
      </c>
      <c r="I265" s="6" t="s">
        <v>142</v>
      </c>
      <c r="J265" s="6" t="str">
        <f>'[1]V, inciso o) (OP)'!M125</f>
        <v>AMALIA</v>
      </c>
      <c r="K265" s="7" t="str">
        <f>'[1]V, inciso o) (OP)'!N125</f>
        <v>MORENO</v>
      </c>
      <c r="L265" s="7" t="str">
        <f>'[1]V, inciso o) (OP)'!O125</f>
        <v>MALDONADO</v>
      </c>
      <c r="M265" s="6" t="s">
        <v>1970</v>
      </c>
      <c r="N265" s="7" t="str">
        <f>'[1]V, inciso o) (OP)'!Q125</f>
        <v>GCM020226F28</v>
      </c>
      <c r="O265" s="11">
        <f>'[1]V, inciso o) (OP)'!Y125</f>
        <v>1208435.74</v>
      </c>
      <c r="P265" s="11">
        <v>1560919.65</v>
      </c>
      <c r="Q265" s="7" t="s">
        <v>653</v>
      </c>
      <c r="R265" s="11">
        <f>O265/819.2</f>
        <v>1475.1412841796873</v>
      </c>
      <c r="S265" s="7" t="s">
        <v>41</v>
      </c>
      <c r="T265" s="12">
        <v>341</v>
      </c>
      <c r="U265" s="13" t="s">
        <v>42</v>
      </c>
      <c r="V265" s="7" t="s">
        <v>43</v>
      </c>
      <c r="W265" s="10">
        <f>'[1]V, inciso o) (OP)'!AD125</f>
        <v>42702</v>
      </c>
      <c r="X265" s="10">
        <f>'[1]V, inciso o) (OP)'!AE125</f>
        <v>42822</v>
      </c>
      <c r="Y265" s="7" t="s">
        <v>441</v>
      </c>
      <c r="Z265" s="7" t="s">
        <v>442</v>
      </c>
      <c r="AA265" s="7" t="s">
        <v>443</v>
      </c>
      <c r="AB265" s="21" t="s">
        <v>1472</v>
      </c>
      <c r="AC265" s="6" t="s">
        <v>2438</v>
      </c>
      <c r="AD265" s="6"/>
    </row>
    <row r="266" spans="1:30" ht="69.95" customHeight="1">
      <c r="A266" s="34">
        <v>257</v>
      </c>
      <c r="B266" s="7">
        <v>2016</v>
      </c>
      <c r="C266" s="6" t="s">
        <v>62</v>
      </c>
      <c r="D266" s="6" t="str">
        <f>'[1]V, inciso o) (OP)'!C126</f>
        <v>DOPI-MUN-R33-PAV-AD-257-2016</v>
      </c>
      <c r="E266" s="10">
        <f>'[1]V, inciso o) (OP)'!V126</f>
        <v>42699</v>
      </c>
      <c r="F266" s="6" t="str">
        <f>'[1]V, inciso o) (OP)'!AA126</f>
        <v>Construcción de pavimento zamepado en la calle Laureles, de calle Paseo de los Manzanos a calle Palmeras, en la colonia Lomas de Tabachines  I sección, en el municipio de Zapopan, Jalisco. Frente 2</v>
      </c>
      <c r="G266" s="6" t="s">
        <v>3318</v>
      </c>
      <c r="H266" s="39">
        <v>1524750.48</v>
      </c>
      <c r="I266" s="6" t="s">
        <v>90</v>
      </c>
      <c r="J266" s="6" t="str">
        <f>'[1]V, inciso o) (OP)'!M126</f>
        <v>JOAQUIN</v>
      </c>
      <c r="K266" s="7" t="str">
        <f>'[1]V, inciso o) (OP)'!N126</f>
        <v>RAMIREZ</v>
      </c>
      <c r="L266" s="7" t="str">
        <f>'[1]V, inciso o) (OP)'!O126</f>
        <v>GALLARDO</v>
      </c>
      <c r="M266" s="6" t="s">
        <v>3087</v>
      </c>
      <c r="N266" s="7" t="str">
        <f>'[1]V, inciso o) (OP)'!Q126</f>
        <v>AUR100826KX0</v>
      </c>
      <c r="O266" s="11">
        <f>'[1]V, inciso o) (OP)'!Y126</f>
        <v>1524750.48</v>
      </c>
      <c r="P266" s="11">
        <v>1524560.83</v>
      </c>
      <c r="Q266" s="7" t="s">
        <v>654</v>
      </c>
      <c r="R266" s="11">
        <f>O266/1033.62</f>
        <v>1475.1557438904047</v>
      </c>
      <c r="S266" s="7" t="s">
        <v>41</v>
      </c>
      <c r="T266" s="12">
        <v>336</v>
      </c>
      <c r="U266" s="13" t="s">
        <v>42</v>
      </c>
      <c r="V266" s="7" t="s">
        <v>43</v>
      </c>
      <c r="W266" s="10">
        <f>'[1]V, inciso o) (OP)'!AD126</f>
        <v>42702</v>
      </c>
      <c r="X266" s="10">
        <f>'[1]V, inciso o) (OP)'!AE126</f>
        <v>42822</v>
      </c>
      <c r="Y266" s="7" t="s">
        <v>441</v>
      </c>
      <c r="Z266" s="7" t="s">
        <v>442</v>
      </c>
      <c r="AA266" s="7" t="s">
        <v>443</v>
      </c>
      <c r="AB266" s="21" t="s">
        <v>1473</v>
      </c>
      <c r="AC266" s="6" t="s">
        <v>2438</v>
      </c>
      <c r="AD266" s="6"/>
    </row>
    <row r="267" spans="1:30" ht="69.95" customHeight="1">
      <c r="A267" s="34">
        <v>258</v>
      </c>
      <c r="B267" s="7">
        <v>2016</v>
      </c>
      <c r="C267" s="6" t="s">
        <v>62</v>
      </c>
      <c r="D267" s="6" t="str">
        <f>'[1]V, inciso o) (OP)'!C127</f>
        <v>DOPI-MUN-R33-ELE-AD-258-2016</v>
      </c>
      <c r="E267" s="10">
        <f>'[1]V, inciso o) (OP)'!V127</f>
        <v>42699</v>
      </c>
      <c r="F267" s="32" t="str">
        <f>'[1]V, inciso o) (OP)'!AA127</f>
        <v>Alumbrado público en la calle Santa María, de calle Santa María a calle Dolores Rodríguez, calle Dolores Rodríguez de calle Santa María a calle Jalisco, Privada Lagos De Moreno de calle Jalisco al Arroyo, calle Tequila de calle Jalisco al Arroyo, calle Agua Prieta de calle Jalisco al Arroyo, en la colonia Lomas Del Refugio, en el municipio de Zapopan, Jalisco.</v>
      </c>
      <c r="G267" s="6" t="s">
        <v>3318</v>
      </c>
      <c r="H267" s="39">
        <v>1393254.78</v>
      </c>
      <c r="I267" s="6" t="s">
        <v>300</v>
      </c>
      <c r="J267" s="6" t="str">
        <f>'[1]V, inciso o) (OP)'!M127</f>
        <v>JOSE DE JESUS</v>
      </c>
      <c r="K267" s="7" t="str">
        <f>'[1]V, inciso o) (OP)'!N127</f>
        <v>MARQUEZ</v>
      </c>
      <c r="L267" s="7" t="str">
        <f>'[1]V, inciso o) (OP)'!O127</f>
        <v>AVILA</v>
      </c>
      <c r="M267" s="6" t="s">
        <v>3088</v>
      </c>
      <c r="N267" s="7" t="str">
        <f>'[1]V, inciso o) (OP)'!Q127</f>
        <v>FUT1110275V9</v>
      </c>
      <c r="O267" s="11">
        <f>'[1]V, inciso o) (OP)'!Y127</f>
        <v>1393254.78</v>
      </c>
      <c r="P267" s="11">
        <v>745754.16999999993</v>
      </c>
      <c r="Q267" s="7" t="s">
        <v>655</v>
      </c>
      <c r="R267" s="11">
        <f>O267/1210</f>
        <v>1151.4502314049587</v>
      </c>
      <c r="S267" s="7" t="s">
        <v>41</v>
      </c>
      <c r="T267" s="12">
        <v>298</v>
      </c>
      <c r="U267" s="13" t="s">
        <v>42</v>
      </c>
      <c r="V267" s="7" t="s">
        <v>43</v>
      </c>
      <c r="W267" s="10">
        <f>'[1]V, inciso o) (OP)'!AD127</f>
        <v>42702</v>
      </c>
      <c r="X267" s="10">
        <f>'[1]V, inciso o) (OP)'!AE127</f>
        <v>42852</v>
      </c>
      <c r="Y267" s="7" t="s">
        <v>402</v>
      </c>
      <c r="Z267" s="7" t="s">
        <v>296</v>
      </c>
      <c r="AA267" s="7" t="s">
        <v>508</v>
      </c>
      <c r="AB267" s="21" t="s">
        <v>1474</v>
      </c>
      <c r="AC267" s="6" t="s">
        <v>2438</v>
      </c>
      <c r="AD267" s="6"/>
    </row>
    <row r="268" spans="1:30" ht="69.95" customHeight="1">
      <c r="A268" s="34">
        <v>259</v>
      </c>
      <c r="B268" s="7">
        <v>2016</v>
      </c>
      <c r="C268" s="6" t="s">
        <v>62</v>
      </c>
      <c r="D268" s="6" t="str">
        <f>'[1]V, inciso o) (OP)'!C128</f>
        <v>DOPI-MUN-R33-ELE-AD-259-2016</v>
      </c>
      <c r="E268" s="10">
        <f>'[1]V, inciso o) (OP)'!V128</f>
        <v>42710</v>
      </c>
      <c r="F268" s="6" t="str">
        <f>'[1]V, inciso o) (OP)'!AA128</f>
        <v>Electrificación y alumbrado público en calle Latón, de calle Platino a calle Centenario, calle Limonita, de calle Níquel al Arroyo y calle Uranio, de calle Río Bajo al arroyo, en la colonia Arenales Tapatíos II, en el municipio de Zapopan, Jalisco.</v>
      </c>
      <c r="G268" s="6" t="s">
        <v>3318</v>
      </c>
      <c r="H268" s="39">
        <v>992115.87</v>
      </c>
      <c r="I268" s="6" t="s">
        <v>656</v>
      </c>
      <c r="J268" s="6" t="str">
        <f>'[1]V, inciso o) (OP)'!M128</f>
        <v>RODRIGO</v>
      </c>
      <c r="K268" s="7" t="str">
        <f>'[1]V, inciso o) (OP)'!N128</f>
        <v>SOLIS</v>
      </c>
      <c r="L268" s="7" t="str">
        <f>'[1]V, inciso o) (OP)'!O128</f>
        <v>RUIZ</v>
      </c>
      <c r="M268" s="6" t="s">
        <v>3089</v>
      </c>
      <c r="N268" s="7" t="str">
        <f>'[1]V, inciso o) (OP)'!Q128</f>
        <v>EMP080630FL0</v>
      </c>
      <c r="O268" s="11">
        <f>'[1]V, inciso o) (OP)'!Y128</f>
        <v>992115.87</v>
      </c>
      <c r="P268" s="11">
        <v>992115.87</v>
      </c>
      <c r="Q268" s="7" t="s">
        <v>657</v>
      </c>
      <c r="R268" s="11">
        <f>O268/870</f>
        <v>1140.3630689655172</v>
      </c>
      <c r="S268" s="7" t="s">
        <v>41</v>
      </c>
      <c r="T268" s="12">
        <v>586</v>
      </c>
      <c r="U268" s="13" t="s">
        <v>42</v>
      </c>
      <c r="V268" s="7" t="s">
        <v>373</v>
      </c>
      <c r="W268" s="10">
        <f>'[1]V, inciso o) (OP)'!AD128</f>
        <v>42711</v>
      </c>
      <c r="X268" s="10">
        <f>'[1]V, inciso o) (OP)'!AE128</f>
        <v>42794</v>
      </c>
      <c r="Y268" s="7" t="s">
        <v>402</v>
      </c>
      <c r="Z268" s="7" t="s">
        <v>296</v>
      </c>
      <c r="AA268" s="7" t="s">
        <v>508</v>
      </c>
      <c r="AB268" s="21" t="s">
        <v>1475</v>
      </c>
      <c r="AC268" s="6" t="s">
        <v>2438</v>
      </c>
      <c r="AD268" s="6"/>
    </row>
    <row r="269" spans="1:30" ht="69.95" customHeight="1">
      <c r="A269" s="34">
        <v>260</v>
      </c>
      <c r="B269" s="7">
        <v>2016</v>
      </c>
      <c r="C269" s="6" t="s">
        <v>62</v>
      </c>
      <c r="D269" s="6" t="str">
        <f>'[1]V, inciso o) (OP)'!C129</f>
        <v>DOPI-MUN-R33-ELE-AD-260-2016</v>
      </c>
      <c r="E269" s="10">
        <f>'[1]V, inciso o) (OP)'!V129</f>
        <v>42710</v>
      </c>
      <c r="F269" s="6" t="str">
        <f>'[1]V, inciso o) (OP)'!AA129</f>
        <v xml:space="preserve">Electrificación de pozo, en la localidad Los Patios, en el municipio de Zapopan, Jalisco. </v>
      </c>
      <c r="G269" s="6" t="s">
        <v>3318</v>
      </c>
      <c r="H269" s="39">
        <v>1502368.1</v>
      </c>
      <c r="I269" s="6" t="s">
        <v>645</v>
      </c>
      <c r="J269" s="6" t="str">
        <f>'[1]V, inciso o) (OP)'!M129</f>
        <v>FAUSTO</v>
      </c>
      <c r="K269" s="7" t="str">
        <f>'[1]V, inciso o) (OP)'!N129</f>
        <v>GARNICA</v>
      </c>
      <c r="L269" s="7" t="str">
        <f>'[1]V, inciso o) (OP)'!O129</f>
        <v>PADILLA</v>
      </c>
      <c r="M269" s="6" t="s">
        <v>3090</v>
      </c>
      <c r="N269" s="7" t="str">
        <f>'[1]V, inciso o) (OP)'!Q129</f>
        <v>GAPF5912193V9</v>
      </c>
      <c r="O269" s="11">
        <f>'[1]V, inciso o) (OP)'!Y129</f>
        <v>1502368.1</v>
      </c>
      <c r="P269" s="11">
        <v>1467937.01</v>
      </c>
      <c r="Q269" s="7" t="s">
        <v>50</v>
      </c>
      <c r="R269" s="11">
        <f>O269</f>
        <v>1502368.1</v>
      </c>
      <c r="S269" s="7" t="s">
        <v>41</v>
      </c>
      <c r="T269" s="12">
        <v>39</v>
      </c>
      <c r="U269" s="13" t="s">
        <v>42</v>
      </c>
      <c r="V269" s="7" t="s">
        <v>43</v>
      </c>
      <c r="W269" s="10">
        <f>'[1]V, inciso o) (OP)'!AD129</f>
        <v>42711</v>
      </c>
      <c r="X269" s="10">
        <f>'[1]V, inciso o) (OP)'!AE129</f>
        <v>42861</v>
      </c>
      <c r="Y269" s="7" t="s">
        <v>402</v>
      </c>
      <c r="Z269" s="7" t="s">
        <v>296</v>
      </c>
      <c r="AA269" s="7" t="s">
        <v>508</v>
      </c>
      <c r="AB269" s="21" t="s">
        <v>1476</v>
      </c>
      <c r="AC269" s="6" t="s">
        <v>2438</v>
      </c>
      <c r="AD269" s="6"/>
    </row>
    <row r="270" spans="1:30" ht="69.95" customHeight="1">
      <c r="A270" s="34">
        <v>261</v>
      </c>
      <c r="B270" s="7">
        <v>2016</v>
      </c>
      <c r="C270" s="6" t="s">
        <v>62</v>
      </c>
      <c r="D270" s="6" t="str">
        <f>'[1]V, inciso o) (OP)'!C130</f>
        <v>DOPI-MUN-R33-IH-AD-261-2016</v>
      </c>
      <c r="E270" s="10">
        <f>'[1]V, inciso o) (OP)'!V130</f>
        <v>42710</v>
      </c>
      <c r="F270" s="6" t="str">
        <f>'[1]V, inciso o) (OP)'!AA130</f>
        <v>Construcción de línea de drenaje sanitario en la calle Rosal, de calle Colorines a calle Jazmín, en la colonia Floresta Del Collí; Obra complementaria de la línea de agua potable, en la colonia Misión San Genaro (Nuevo México), en el municipio de Zapopan Jalisco.</v>
      </c>
      <c r="G270" s="6" t="s">
        <v>3318</v>
      </c>
      <c r="H270" s="39">
        <v>560225.48</v>
      </c>
      <c r="I270" s="6" t="s">
        <v>658</v>
      </c>
      <c r="J270" s="6" t="str">
        <f>'[1]V, inciso o) (OP)'!M130</f>
        <v>MADELEINE</v>
      </c>
      <c r="K270" s="7" t="str">
        <f>'[1]V, inciso o) (OP)'!N130</f>
        <v xml:space="preserve">GARZA </v>
      </c>
      <c r="L270" s="7" t="str">
        <f>'[1]V, inciso o) (OP)'!O130</f>
        <v>ESTRADA</v>
      </c>
      <c r="M270" s="6" t="s">
        <v>3091</v>
      </c>
      <c r="N270" s="7" t="str">
        <f>'[1]V, inciso o) (OP)'!Q130</f>
        <v>SUR091203ERA</v>
      </c>
      <c r="O270" s="11">
        <f>'[1]V, inciso o) (OP)'!Y130</f>
        <v>560225.48</v>
      </c>
      <c r="P270" s="11">
        <v>448578.52</v>
      </c>
      <c r="Q270" s="7" t="s">
        <v>659</v>
      </c>
      <c r="R270" s="11">
        <f>O270/112</f>
        <v>5002.0132142857137</v>
      </c>
      <c r="S270" s="7" t="s">
        <v>41</v>
      </c>
      <c r="T270" s="12">
        <v>125</v>
      </c>
      <c r="U270" s="13" t="s">
        <v>42</v>
      </c>
      <c r="V270" s="7" t="s">
        <v>43</v>
      </c>
      <c r="W270" s="10">
        <f>'[1]V, inciso o) (OP)'!AD130</f>
        <v>42711</v>
      </c>
      <c r="X270" s="10">
        <f>'[1]V, inciso o) (OP)'!AE130</f>
        <v>42771</v>
      </c>
      <c r="Y270" s="7" t="s">
        <v>323</v>
      </c>
      <c r="Z270" s="7" t="s">
        <v>231</v>
      </c>
      <c r="AA270" s="7" t="s">
        <v>143</v>
      </c>
      <c r="AB270" s="21" t="s">
        <v>1477</v>
      </c>
      <c r="AC270" s="6" t="s">
        <v>2438</v>
      </c>
      <c r="AD270" s="6"/>
    </row>
    <row r="271" spans="1:30" ht="69.95" customHeight="1">
      <c r="A271" s="34">
        <v>262</v>
      </c>
      <c r="B271" s="7">
        <v>2016</v>
      </c>
      <c r="C271" s="6" t="s">
        <v>62</v>
      </c>
      <c r="D271" s="6" t="str">
        <f>'[1]V, inciso o) (OP)'!C131</f>
        <v>DOPI-MUN-R33-IH-AD-262-2016</v>
      </c>
      <c r="E271" s="10">
        <f>'[1]V, inciso o) (OP)'!V131</f>
        <v>42713</v>
      </c>
      <c r="F271" s="32" t="str">
        <f>'[1]V, inciso o) (OP)'!AA131</f>
        <v>Construcción de línea de agua potable en la calle Tuna, de calle Carlos Herrera Jasso a calle Vista Hermosa, calle vista al poniente, de calle Carlos Herrera Jasso a calle Vista Hermosa, calle Vista Sur, de calle Vista Bonita a calle Vista Alta  y calle Vista Rivera, de calle Vista Bonita a calle Vista Alta, en la colonia Vista Hermosa, en el municipio de Zapopan Jalisco</v>
      </c>
      <c r="G271" s="6" t="s">
        <v>3318</v>
      </c>
      <c r="H271" s="39">
        <v>1337560.18</v>
      </c>
      <c r="I271" s="6" t="s">
        <v>85</v>
      </c>
      <c r="J271" s="6" t="str">
        <f>'[1]V, inciso o) (OP)'!M131</f>
        <v>JUAN</v>
      </c>
      <c r="K271" s="7" t="str">
        <f>'[1]V, inciso o) (OP)'!N131</f>
        <v>PADILLA</v>
      </c>
      <c r="L271" s="7" t="str">
        <f>'[1]V, inciso o) (OP)'!O131</f>
        <v>AILHAUD</v>
      </c>
      <c r="M271" s="6" t="s">
        <v>3092</v>
      </c>
      <c r="N271" s="7" t="str">
        <f>'[1]V, inciso o) (OP)'!Q131</f>
        <v>TCM0111148H5</v>
      </c>
      <c r="O271" s="11">
        <f>'[1]V, inciso o) (OP)'!Y131</f>
        <v>1337560.18</v>
      </c>
      <c r="P271" s="11">
        <v>1037921.94</v>
      </c>
      <c r="Q271" s="7" t="s">
        <v>660</v>
      </c>
      <c r="R271" s="11">
        <f>O271/1114.44</f>
        <v>1200.2083378198915</v>
      </c>
      <c r="S271" s="7" t="s">
        <v>41</v>
      </c>
      <c r="T271" s="12">
        <v>221</v>
      </c>
      <c r="U271" s="13" t="s">
        <v>42</v>
      </c>
      <c r="V271" s="7" t="s">
        <v>43</v>
      </c>
      <c r="W271" s="10">
        <f>'[1]V, inciso o) (OP)'!AD131</f>
        <v>42716</v>
      </c>
      <c r="X271" s="10">
        <f>'[1]V, inciso o) (OP)'!AE131</f>
        <v>42806</v>
      </c>
      <c r="Y271" s="7" t="s">
        <v>431</v>
      </c>
      <c r="Z271" s="7" t="s">
        <v>181</v>
      </c>
      <c r="AA271" s="7" t="s">
        <v>89</v>
      </c>
      <c r="AB271" s="21" t="s">
        <v>1478</v>
      </c>
      <c r="AC271" s="6" t="s">
        <v>2438</v>
      </c>
      <c r="AD271" s="6"/>
    </row>
    <row r="272" spans="1:30" ht="69.95" customHeight="1">
      <c r="A272" s="34">
        <v>263</v>
      </c>
      <c r="B272" s="7">
        <v>2016</v>
      </c>
      <c r="C272" s="6" t="s">
        <v>62</v>
      </c>
      <c r="D272" s="6" t="str">
        <f>'[1]V, inciso o) (OP)'!C132</f>
        <v>DOPI-MUN-R33-PAV-AD-263-2016</v>
      </c>
      <c r="E272" s="10">
        <f>'[1]V, inciso o) (OP)'!V132</f>
        <v>42713</v>
      </c>
      <c r="F272" s="6" t="str">
        <f>'[1]V, inciso o) (OP)'!AA132</f>
        <v>Pavimentación con empedrado zampeado de la calle El Salto, de calle Fernando Montes De Oca a calle Valentín Gómez Farías; Construcción de Andador en la calle El Salto de la calle Valentín Gómez Farías al Arroyo, municipio de Zapopan, Jalisco</v>
      </c>
      <c r="G272" s="6" t="s">
        <v>3318</v>
      </c>
      <c r="H272" s="39">
        <v>1948506.39</v>
      </c>
      <c r="I272" s="6" t="s">
        <v>649</v>
      </c>
      <c r="J272" s="6" t="str">
        <f>'[1]V, inciso o) (OP)'!M132</f>
        <v>ROBERTO</v>
      </c>
      <c r="K272" s="7" t="str">
        <f>'[1]V, inciso o) (OP)'!N132</f>
        <v>FLORES</v>
      </c>
      <c r="L272" s="7" t="str">
        <f>'[1]V, inciso o) (OP)'!O132</f>
        <v>ARREOLA</v>
      </c>
      <c r="M272" s="6" t="s">
        <v>2094</v>
      </c>
      <c r="N272" s="7" t="str">
        <f>'[1]V, inciso o) (OP)'!Q132</f>
        <v>ESC930617KW9</v>
      </c>
      <c r="O272" s="11">
        <f>'[1]V, inciso o) (OP)'!Y132</f>
        <v>1510487.16</v>
      </c>
      <c r="P272" s="11">
        <v>1939497.19</v>
      </c>
      <c r="Q272" s="7" t="s">
        <v>661</v>
      </c>
      <c r="R272" s="11">
        <f>O272/727.89</f>
        <v>2075.1585541771419</v>
      </c>
      <c r="S272" s="7" t="s">
        <v>41</v>
      </c>
      <c r="T272" s="12">
        <v>352</v>
      </c>
      <c r="U272" s="13" t="s">
        <v>42</v>
      </c>
      <c r="V272" s="7" t="s">
        <v>43</v>
      </c>
      <c r="W272" s="10">
        <f>'[1]V, inciso o) (OP)'!AD132</f>
        <v>42716</v>
      </c>
      <c r="X272" s="10">
        <f>'[1]V, inciso o) (OP)'!AE132</f>
        <v>42836</v>
      </c>
      <c r="Y272" s="7" t="s">
        <v>441</v>
      </c>
      <c r="Z272" s="7" t="s">
        <v>442</v>
      </c>
      <c r="AA272" s="7" t="s">
        <v>443</v>
      </c>
      <c r="AB272" s="21" t="s">
        <v>1479</v>
      </c>
      <c r="AC272" s="6" t="s">
        <v>2438</v>
      </c>
      <c r="AD272" s="6"/>
    </row>
    <row r="273" spans="1:30" ht="69.95" customHeight="1">
      <c r="A273" s="34">
        <v>264</v>
      </c>
      <c r="B273" s="7">
        <v>2016</v>
      </c>
      <c r="C273" s="6" t="s">
        <v>62</v>
      </c>
      <c r="D273" s="6" t="str">
        <f>'[1]V, inciso o) (OP)'!C133</f>
        <v>DOPI-MUN-R33 BAN-AD-264-2016</v>
      </c>
      <c r="E273" s="10">
        <f>'[1]V, inciso o) (OP)'!V133</f>
        <v>42713</v>
      </c>
      <c r="F273" s="6" t="str">
        <f>'[1]V, inciso o) (OP)'!AA133</f>
        <v>Construcción de puente peatonal en el cruce de la calle Albañiles y calle Mirador, en la colonia Cabañitas, municipio de Zapopan, Jalisco.</v>
      </c>
      <c r="G273" s="6" t="s">
        <v>3318</v>
      </c>
      <c r="H273" s="39">
        <v>1495874.33</v>
      </c>
      <c r="I273" s="6" t="s">
        <v>662</v>
      </c>
      <c r="J273" s="6" t="str">
        <f>'[1]V, inciso o) (OP)'!M133</f>
        <v>BRUNO</v>
      </c>
      <c r="K273" s="7" t="str">
        <f>'[1]V, inciso o) (OP)'!N133</f>
        <v>RUIZ</v>
      </c>
      <c r="L273" s="7" t="str">
        <f>'[1]V, inciso o) (OP)'!O133</f>
        <v>CASTAÑEDA</v>
      </c>
      <c r="M273" s="6" t="s">
        <v>3093</v>
      </c>
      <c r="N273" s="7" t="str">
        <f>'[1]V, inciso o) (OP)'!Q133</f>
        <v>SIA011224UN1</v>
      </c>
      <c r="O273" s="11">
        <f>'[1]V, inciso o) (OP)'!Y133</f>
        <v>1495874.33</v>
      </c>
      <c r="P273" s="11">
        <v>1488444.3399999999</v>
      </c>
      <c r="Q273" s="7" t="s">
        <v>663</v>
      </c>
      <c r="R273" s="11">
        <f>O273/20</f>
        <v>74793.71650000001</v>
      </c>
      <c r="S273" s="7" t="s">
        <v>41</v>
      </c>
      <c r="T273" s="12">
        <v>600</v>
      </c>
      <c r="U273" s="13" t="s">
        <v>42</v>
      </c>
      <c r="V273" s="7" t="s">
        <v>43</v>
      </c>
      <c r="W273" s="10">
        <f>'[1]V, inciso o) (OP)'!AD133</f>
        <v>42716</v>
      </c>
      <c r="X273" s="10">
        <f>'[1]V, inciso o) (OP)'!AE133</f>
        <v>42836</v>
      </c>
      <c r="Y273" s="7" t="s">
        <v>441</v>
      </c>
      <c r="Z273" s="7" t="s">
        <v>442</v>
      </c>
      <c r="AA273" s="7" t="s">
        <v>443</v>
      </c>
      <c r="AB273" s="21" t="s">
        <v>1480</v>
      </c>
      <c r="AC273" s="6" t="s">
        <v>2438</v>
      </c>
      <c r="AD273" s="6"/>
    </row>
    <row r="274" spans="1:30" ht="69.95" customHeight="1">
      <c r="A274" s="34">
        <v>265</v>
      </c>
      <c r="B274" s="7">
        <v>2016</v>
      </c>
      <c r="C274" s="6" t="s">
        <v>62</v>
      </c>
      <c r="D274" s="6" t="str">
        <f>'[1]V, inciso o) (OP)'!C134</f>
        <v>DOPI-MUN-R33-ELE-AD-265-2016</v>
      </c>
      <c r="E274" s="10">
        <f>'[1]V, inciso o) (OP)'!V134</f>
        <v>42713</v>
      </c>
      <c r="F274" s="6" t="str">
        <f>'[1]V, inciso o) (OP)'!AA134</f>
        <v>Electrificación en la calle La Sidra, de calle Naranjo a 700 m,  en la localidad San Esteban,  en el municipio de Zapopan, Jalisco.</v>
      </c>
      <c r="G274" s="6" t="s">
        <v>3318</v>
      </c>
      <c r="H274" s="39">
        <v>1475654.13</v>
      </c>
      <c r="I274" s="6" t="s">
        <v>664</v>
      </c>
      <c r="J274" s="6" t="str">
        <f>'[1]V, inciso o) (OP)'!M134</f>
        <v xml:space="preserve">HÉCTOR ALEJANDRO </v>
      </c>
      <c r="K274" s="7" t="str">
        <f>'[1]V, inciso o) (OP)'!N134</f>
        <v xml:space="preserve">ORTEGA </v>
      </c>
      <c r="L274" s="7" t="str">
        <f>'[1]V, inciso o) (OP)'!O134</f>
        <v>ROSALES</v>
      </c>
      <c r="M274" s="6" t="s">
        <v>3094</v>
      </c>
      <c r="N274" s="7" t="str">
        <f>'[1]V, inciso o) (OP)'!Q134</f>
        <v>ISS920330811</v>
      </c>
      <c r="O274" s="11">
        <f>'[1]V, inciso o) (OP)'!Y134</f>
        <v>1475654.13</v>
      </c>
      <c r="P274" s="11">
        <v>1473600.84</v>
      </c>
      <c r="Q274" s="7" t="s">
        <v>665</v>
      </c>
      <c r="R274" s="11">
        <f>O274/1285</f>
        <v>1148.3689727626459</v>
      </c>
      <c r="S274" s="7" t="s">
        <v>41</v>
      </c>
      <c r="T274" s="12">
        <v>3726</v>
      </c>
      <c r="U274" s="13" t="s">
        <v>42</v>
      </c>
      <c r="V274" s="7" t="s">
        <v>43</v>
      </c>
      <c r="W274" s="10">
        <f>'[1]V, inciso o) (OP)'!AD134</f>
        <v>42716</v>
      </c>
      <c r="X274" s="10">
        <f>'[1]V, inciso o) (OP)'!AE134</f>
        <v>42866</v>
      </c>
      <c r="Y274" s="7" t="s">
        <v>402</v>
      </c>
      <c r="Z274" s="7" t="s">
        <v>296</v>
      </c>
      <c r="AA274" s="7" t="s">
        <v>508</v>
      </c>
      <c r="AB274" s="21" t="s">
        <v>2573</v>
      </c>
      <c r="AC274" s="6" t="s">
        <v>2438</v>
      </c>
      <c r="AD274" s="6"/>
    </row>
    <row r="275" spans="1:30" ht="69.95" customHeight="1">
      <c r="A275" s="34">
        <v>266</v>
      </c>
      <c r="B275" s="7">
        <v>2016</v>
      </c>
      <c r="C275" s="6" t="s">
        <v>62</v>
      </c>
      <c r="D275" s="6" t="str">
        <f>'[1]V, inciso o) (OP)'!C135</f>
        <v>DOPI-MUN-R33-ELE-AD-266-2016</v>
      </c>
      <c r="E275" s="10">
        <f>'[1]V, inciso o) (OP)'!V135</f>
        <v>42713</v>
      </c>
      <c r="F275" s="6" t="str">
        <f>'[1]V, inciso o) (OP)'!AA135</f>
        <v xml:space="preserve">Línea de electrificación de pozo, en la localidad Milpillas Mesa De San Juan, en el municipio de Zapopan, Jalisco. </v>
      </c>
      <c r="G275" s="6" t="s">
        <v>3318</v>
      </c>
      <c r="H275" s="39">
        <v>1497365.47</v>
      </c>
      <c r="I275" s="6" t="s">
        <v>666</v>
      </c>
      <c r="J275" s="6" t="str">
        <f>'[1]V, inciso o) (OP)'!M135</f>
        <v>JOSUE FERNANDO RAFAEL</v>
      </c>
      <c r="K275" s="7" t="str">
        <f>'[1]V, inciso o) (OP)'!N135</f>
        <v>ESCANES</v>
      </c>
      <c r="L275" s="7" t="str">
        <f>'[1]V, inciso o) (OP)'!O135</f>
        <v>TAMES</v>
      </c>
      <c r="M275" s="6" t="s">
        <v>3095</v>
      </c>
      <c r="N275" s="7" t="str">
        <f>'[1]V, inciso o) (OP)'!Q135</f>
        <v>JIL9410139F9</v>
      </c>
      <c r="O275" s="11">
        <f>'[1]V, inciso o) (OP)'!Y135</f>
        <v>1497365.47</v>
      </c>
      <c r="P275" s="11">
        <v>1497365.46</v>
      </c>
      <c r="Q275" s="7" t="s">
        <v>50</v>
      </c>
      <c r="R275" s="11">
        <f>O275</f>
        <v>1497365.47</v>
      </c>
      <c r="S275" s="7" t="s">
        <v>41</v>
      </c>
      <c r="T275" s="12">
        <v>86</v>
      </c>
      <c r="U275" s="13" t="s">
        <v>42</v>
      </c>
      <c r="V275" s="7" t="s">
        <v>43</v>
      </c>
      <c r="W275" s="10">
        <f>'[1]V, inciso o) (OP)'!AD135</f>
        <v>42716</v>
      </c>
      <c r="X275" s="10">
        <f>'[1]V, inciso o) (OP)'!AE135</f>
        <v>42866</v>
      </c>
      <c r="Y275" s="7" t="s">
        <v>402</v>
      </c>
      <c r="Z275" s="7" t="s">
        <v>296</v>
      </c>
      <c r="AA275" s="7" t="s">
        <v>508</v>
      </c>
      <c r="AB275" s="21" t="s">
        <v>1481</v>
      </c>
      <c r="AC275" s="6" t="s">
        <v>2438</v>
      </c>
      <c r="AD275" s="6"/>
    </row>
    <row r="276" spans="1:30" ht="69.95" customHeight="1">
      <c r="A276" s="34">
        <v>267</v>
      </c>
      <c r="B276" s="7">
        <v>2016</v>
      </c>
      <c r="C276" s="6" t="s">
        <v>62</v>
      </c>
      <c r="D276" s="6" t="str">
        <f>'[1]V, inciso o) (OP)'!C136</f>
        <v>DOPI-MUN-RM-IM-AD-267-2016</v>
      </c>
      <c r="E276" s="10">
        <f>'[1]V, inciso o) (OP)'!V136</f>
        <v>42713</v>
      </c>
      <c r="F276" s="6" t="str">
        <f>'[1]V, inciso o) (OP)'!AA136</f>
        <v>Rehabilitación de carpintería, instalación eléctrica, hidráulica, sanitaria, estructuras de protección de rayos ultravioleta, pisos, y albañilería en el Centro de Desarrollo Infantil del DIF No. 3 Irene Robledo García, ubicado en la colonia Fovissste, municipio de Zapopa</v>
      </c>
      <c r="G276" s="6" t="s">
        <v>3308</v>
      </c>
      <c r="H276" s="39">
        <v>1390897.36</v>
      </c>
      <c r="I276" s="6" t="s">
        <v>667</v>
      </c>
      <c r="J276" s="6" t="str">
        <f>'[1]V, inciso o) (OP)'!M136</f>
        <v xml:space="preserve">RAFAEL </v>
      </c>
      <c r="K276" s="7" t="str">
        <f>'[1]V, inciso o) (OP)'!N136</f>
        <v>ARREGUIN</v>
      </c>
      <c r="L276" s="7" t="str">
        <f>'[1]V, inciso o) (OP)'!O136</f>
        <v>RENTERIA</v>
      </c>
      <c r="M276" s="6" t="s">
        <v>3096</v>
      </c>
      <c r="N276" s="7" t="str">
        <f>'[1]V, inciso o) (OP)'!Q136</f>
        <v>ADI130522MB7</v>
      </c>
      <c r="O276" s="11">
        <f>'[1]V, inciso o) (OP)'!Y136</f>
        <v>1390897.36</v>
      </c>
      <c r="P276" s="11">
        <v>1390897.3599999999</v>
      </c>
      <c r="Q276" s="7" t="s">
        <v>668</v>
      </c>
      <c r="R276" s="11">
        <f>O276/1380</f>
        <v>1007.8966376811595</v>
      </c>
      <c r="S276" s="7" t="s">
        <v>41</v>
      </c>
      <c r="T276" s="12">
        <v>1263</v>
      </c>
      <c r="U276" s="13" t="s">
        <v>42</v>
      </c>
      <c r="V276" s="7" t="s">
        <v>43</v>
      </c>
      <c r="W276" s="10">
        <f>'[1]V, inciso o) (OP)'!AD136</f>
        <v>42716</v>
      </c>
      <c r="X276" s="10">
        <f>'[1]V, inciso o) (OP)'!AE136</f>
        <v>42746</v>
      </c>
      <c r="Y276" s="7" t="s">
        <v>599</v>
      </c>
      <c r="Z276" s="7" t="s">
        <v>307</v>
      </c>
      <c r="AA276" s="7" t="s">
        <v>61</v>
      </c>
      <c r="AB276" s="21" t="s">
        <v>1482</v>
      </c>
      <c r="AC276" s="6" t="s">
        <v>2438</v>
      </c>
      <c r="AD276" s="6"/>
    </row>
    <row r="277" spans="1:30" ht="69.95" customHeight="1">
      <c r="A277" s="34">
        <v>268</v>
      </c>
      <c r="B277" s="7">
        <v>2016</v>
      </c>
      <c r="C277" s="6" t="s">
        <v>62</v>
      </c>
      <c r="D277" s="6" t="str">
        <f>'[1]V, inciso o) (OP)'!C137</f>
        <v>DOPI-MUN-RM-IM-AD-268-2016</v>
      </c>
      <c r="E277" s="10">
        <f>'[1]V, inciso o) (OP)'!V137</f>
        <v>42713</v>
      </c>
      <c r="F277" s="32" t="str">
        <f>'[1]V, inciso o) (OP)'!AA137</f>
        <v>Rehabilitación de carpintería, instalación eléctrica, hidráulica, sanitaria, estructuras de protección de rayos ultravioleta, pisos, juegos infantiles y albañilería en el Centro de Desarrollo Infantil del DIF No. 4 Melvin Jones, ubicado en la colonia Jardines del Sol, municipio de Zapopan, Jalisco</v>
      </c>
      <c r="G277" s="6" t="s">
        <v>3308</v>
      </c>
      <c r="H277" s="39">
        <v>1472678.88</v>
      </c>
      <c r="I277" s="6" t="s">
        <v>669</v>
      </c>
      <c r="J277" s="6" t="str">
        <f>'[1]V, inciso o) (OP)'!M137</f>
        <v xml:space="preserve">GUILLERMO </v>
      </c>
      <c r="K277" s="7" t="str">
        <f>'[1]V, inciso o) (OP)'!N137</f>
        <v>RODRIGUEZ</v>
      </c>
      <c r="L277" s="7" t="str">
        <f>'[1]V, inciso o) (OP)'!O137</f>
        <v>MEZA</v>
      </c>
      <c r="M277" s="6" t="s">
        <v>3097</v>
      </c>
      <c r="N277" s="7" t="str">
        <f>'[1]V, inciso o) (OP)'!Q137</f>
        <v>CAJ1208151M8</v>
      </c>
      <c r="O277" s="11">
        <f>'[1]V, inciso o) (OP)'!Y137</f>
        <v>1472678.88</v>
      </c>
      <c r="P277" s="11">
        <v>1400178.75</v>
      </c>
      <c r="Q277" s="7" t="s">
        <v>670</v>
      </c>
      <c r="R277" s="11">
        <f>O277/1461.14</f>
        <v>1007.8971761775051</v>
      </c>
      <c r="S277" s="7" t="s">
        <v>41</v>
      </c>
      <c r="T277" s="12">
        <v>1158</v>
      </c>
      <c r="U277" s="13" t="s">
        <v>42</v>
      </c>
      <c r="V277" s="7" t="s">
        <v>43</v>
      </c>
      <c r="W277" s="10">
        <f>'[1]V, inciso o) (OP)'!AD137</f>
        <v>42716</v>
      </c>
      <c r="X277" s="10">
        <f>'[1]V, inciso o) (OP)'!AE137</f>
        <v>42776</v>
      </c>
      <c r="Y277" s="7" t="s">
        <v>599</v>
      </c>
      <c r="Z277" s="7" t="s">
        <v>307</v>
      </c>
      <c r="AA277" s="7" t="s">
        <v>61</v>
      </c>
      <c r="AB277" s="21" t="s">
        <v>1483</v>
      </c>
      <c r="AC277" s="6" t="s">
        <v>2438</v>
      </c>
      <c r="AD277" s="6"/>
    </row>
    <row r="278" spans="1:30" ht="69.95" customHeight="1">
      <c r="A278" s="34">
        <v>269</v>
      </c>
      <c r="B278" s="7">
        <v>2016</v>
      </c>
      <c r="C278" s="6" t="s">
        <v>62</v>
      </c>
      <c r="D278" s="6" t="str">
        <f>'[1]V, inciso o) (OP)'!C138</f>
        <v>DOPI-MUN-RM-PROY-AD-269-2016</v>
      </c>
      <c r="E278" s="10">
        <f>'[1]V, inciso o) (OP)'!V138</f>
        <v>42713</v>
      </c>
      <c r="F278" s="6" t="str">
        <f>'[1]V, inciso o) (OP)'!AA138</f>
        <v>Diagnóstico, diseño y proyectos hidráulicos 2016, segunda etapa, de diferentes redes de agua potable y alcantarillado, municipio de Zapopan Jalisco.</v>
      </c>
      <c r="G278" s="6" t="s">
        <v>3308</v>
      </c>
      <c r="H278" s="39">
        <v>1095388.1499999999</v>
      </c>
      <c r="I278" s="6" t="s">
        <v>120</v>
      </c>
      <c r="J278" s="6" t="str">
        <f>'[1]V, inciso o) (OP)'!M138</f>
        <v xml:space="preserve">RODOLFO </v>
      </c>
      <c r="K278" s="7" t="str">
        <f>'[1]V, inciso o) (OP)'!N138</f>
        <v xml:space="preserve">VELAZQUEZ </v>
      </c>
      <c r="L278" s="7" t="str">
        <f>'[1]V, inciso o) (OP)'!O138</f>
        <v>ORDOÑEZ</v>
      </c>
      <c r="M278" s="6" t="s">
        <v>3065</v>
      </c>
      <c r="N278" s="7" t="str">
        <f>'[1]V, inciso o) (OP)'!Q138</f>
        <v>VIE110125RL4</v>
      </c>
      <c r="O278" s="11">
        <f>'[1]V, inciso o) (OP)'!Y138</f>
        <v>1095388.1499999999</v>
      </c>
      <c r="P278" s="11">
        <v>1095373.8976</v>
      </c>
      <c r="Q278" s="7" t="s">
        <v>611</v>
      </c>
      <c r="R278" s="11">
        <f>O278</f>
        <v>1095388.1499999999</v>
      </c>
      <c r="S278" s="7" t="s">
        <v>121</v>
      </c>
      <c r="T278" s="12" t="s">
        <v>121</v>
      </c>
      <c r="U278" s="13" t="s">
        <v>42</v>
      </c>
      <c r="V278" s="7" t="s">
        <v>43</v>
      </c>
      <c r="W278" s="10">
        <f>'[1]V, inciso o) (OP)'!AD138</f>
        <v>42716</v>
      </c>
      <c r="X278" s="10">
        <f>'[1]V, inciso o) (OP)'!AE138</f>
        <v>42866</v>
      </c>
      <c r="Y278" s="7" t="s">
        <v>671</v>
      </c>
      <c r="Z278" s="7" t="s">
        <v>672</v>
      </c>
      <c r="AA278" s="7" t="s">
        <v>127</v>
      </c>
      <c r="AB278" s="21" t="s">
        <v>1522</v>
      </c>
      <c r="AC278" s="6" t="s">
        <v>2438</v>
      </c>
      <c r="AD278" s="6"/>
    </row>
    <row r="279" spans="1:30" ht="69.95" customHeight="1">
      <c r="A279" s="34">
        <v>272</v>
      </c>
      <c r="B279" s="7">
        <v>2016</v>
      </c>
      <c r="C279" s="6" t="s">
        <v>62</v>
      </c>
      <c r="D279" s="6" t="str">
        <f>'[1]V, inciso o) (OP)'!C140</f>
        <v>DOPI-MUN-RM-IM-AD-272-2016</v>
      </c>
      <c r="E279" s="10">
        <f>'[1]V, inciso o) (OP)'!V140</f>
        <v>42713</v>
      </c>
      <c r="F279" s="6" t="str">
        <f>'[1]V, inciso o) (OP)'!AA140</f>
        <v>Rehabilitación de baños públicos en la Unidad Deportiva El Vergel, Unidad Deportiva Santa Margarita "Las Margaritas" y en la Unidad Deportiva Santa Ana Tepetitlán, municipio de Zapopan, Jalisco</v>
      </c>
      <c r="G279" s="6" t="s">
        <v>3308</v>
      </c>
      <c r="H279" s="39">
        <v>1450236.87</v>
      </c>
      <c r="I279" s="6" t="s">
        <v>673</v>
      </c>
      <c r="J279" s="6" t="str">
        <f>'[1]V, inciso o) (OP)'!M140</f>
        <v xml:space="preserve">ARTURO </v>
      </c>
      <c r="K279" s="7" t="str">
        <f>'[1]V, inciso o) (OP)'!N140</f>
        <v>DISTANCIA</v>
      </c>
      <c r="L279" s="7" t="str">
        <f>'[1]V, inciso o) (OP)'!O140</f>
        <v>SANCHEZ</v>
      </c>
      <c r="M279" s="6" t="s">
        <v>3098</v>
      </c>
      <c r="N279" s="7" t="str">
        <f>'[1]V, inciso o) (OP)'!Q140</f>
        <v>JCO160413SK4</v>
      </c>
      <c r="O279" s="11">
        <f>'[1]V, inciso o) (OP)'!Y140</f>
        <v>1450236.87</v>
      </c>
      <c r="P279" s="11">
        <v>1448316.69</v>
      </c>
      <c r="Q279" s="7">
        <v>89.68</v>
      </c>
      <c r="R279" s="11">
        <f>O279/89.68</f>
        <v>16171.240744870651</v>
      </c>
      <c r="S279" s="7" t="s">
        <v>41</v>
      </c>
      <c r="T279" s="12">
        <v>6522</v>
      </c>
      <c r="U279" s="13" t="s">
        <v>42</v>
      </c>
      <c r="V279" s="7" t="s">
        <v>43</v>
      </c>
      <c r="W279" s="10">
        <f>'[1]V, inciso o) (OP)'!AD140</f>
        <v>42716</v>
      </c>
      <c r="X279" s="10">
        <f>'[1]V, inciso o) (OP)'!AE140</f>
        <v>42806</v>
      </c>
      <c r="Y279" s="7" t="s">
        <v>446</v>
      </c>
      <c r="Z279" s="7" t="s">
        <v>447</v>
      </c>
      <c r="AA279" s="7" t="s">
        <v>448</v>
      </c>
      <c r="AB279" s="21" t="s">
        <v>1484</v>
      </c>
      <c r="AC279" s="6" t="s">
        <v>2438</v>
      </c>
      <c r="AD279" s="6"/>
    </row>
    <row r="280" spans="1:30" ht="69.95" customHeight="1">
      <c r="A280" s="34">
        <v>274</v>
      </c>
      <c r="B280" s="7">
        <v>2016</v>
      </c>
      <c r="C280" s="6" t="s">
        <v>62</v>
      </c>
      <c r="D280" s="6" t="str">
        <f>'[1]V, inciso o) (OP)'!C141</f>
        <v>DOPI-MUN-RM-ELE-AD-274-2016</v>
      </c>
      <c r="E280" s="10">
        <f>'[1]V, inciso o) (OP)'!V141</f>
        <v>42713</v>
      </c>
      <c r="F280" s="6" t="str">
        <f>'[1]V, inciso o) (OP)'!AA141</f>
        <v>Suministro e instalación de sistema de pararrayos en el Centro Cultural Constitución, municipio de Zapopan, Jalisco</v>
      </c>
      <c r="G280" s="6" t="s">
        <v>3308</v>
      </c>
      <c r="H280" s="39">
        <v>569255.19400000002</v>
      </c>
      <c r="I280" s="6" t="s">
        <v>468</v>
      </c>
      <c r="J280" s="6" t="str">
        <f>'[1]V, inciso o) (OP)'!M141</f>
        <v>PIA LORENA</v>
      </c>
      <c r="K280" s="7" t="str">
        <f>'[1]V, inciso o) (OP)'!N141</f>
        <v>BUENROSTRO</v>
      </c>
      <c r="L280" s="7" t="str">
        <f>'[1]V, inciso o) (OP)'!O141</f>
        <v>AHUED</v>
      </c>
      <c r="M280" s="6" t="s">
        <v>3082</v>
      </c>
      <c r="N280" s="7" t="str">
        <f>'[1]V, inciso o) (OP)'!Q141</f>
        <v>BCO070129512</v>
      </c>
      <c r="O280" s="11">
        <f>'[1]V, inciso o) (OP)'!Y141</f>
        <v>569255.19400000002</v>
      </c>
      <c r="P280" s="11">
        <v>569255.18999999994</v>
      </c>
      <c r="Q280" s="7" t="s">
        <v>50</v>
      </c>
      <c r="R280" s="11">
        <f>O280</f>
        <v>569255.19400000002</v>
      </c>
      <c r="S280" s="7" t="s">
        <v>41</v>
      </c>
      <c r="T280" s="12">
        <v>25652</v>
      </c>
      <c r="U280" s="13" t="s">
        <v>42</v>
      </c>
      <c r="V280" s="7" t="s">
        <v>43</v>
      </c>
      <c r="W280" s="10">
        <f>'[1]V, inciso o) (OP)'!AD141</f>
        <v>42716</v>
      </c>
      <c r="X280" s="10">
        <f>'[1]V, inciso o) (OP)'!AE141</f>
        <v>42766</v>
      </c>
      <c r="Y280" s="7" t="s">
        <v>411</v>
      </c>
      <c r="Z280" s="7" t="s">
        <v>412</v>
      </c>
      <c r="AA280" s="7" t="s">
        <v>413</v>
      </c>
      <c r="AB280" s="21" t="s">
        <v>1406</v>
      </c>
      <c r="AC280" s="6" t="s">
        <v>2438</v>
      </c>
      <c r="AD280" s="6"/>
    </row>
    <row r="281" spans="1:30" ht="69.95" customHeight="1">
      <c r="A281" s="34">
        <v>275</v>
      </c>
      <c r="B281" s="7">
        <v>2016</v>
      </c>
      <c r="C281" s="6" t="s">
        <v>62</v>
      </c>
      <c r="D281" s="6" t="str">
        <f>'[1]V, inciso o) (OP)'!C142</f>
        <v>DOPI-MUN-RM-PAV-AD-275-2016</v>
      </c>
      <c r="E281" s="10">
        <f>'[1]V, inciso o) (OP)'!V142</f>
        <v>42713</v>
      </c>
      <c r="F281" s="6" t="str">
        <f>'[1]V, inciso o) (OP)'!AA142</f>
        <v>Pavimentación con concreto asfáltico en el retorno Periférico Sur hacía Av, Santa Esther y en el retorno Periférico Norte hacía Av. Juan Pablo II, municipio de Zapopan, Jalisco</v>
      </c>
      <c r="G281" s="6" t="s">
        <v>3308</v>
      </c>
      <c r="H281" s="39">
        <v>876527.94</v>
      </c>
      <c r="I281" s="6" t="s">
        <v>601</v>
      </c>
      <c r="J281" s="6" t="str">
        <f>'[1]V, inciso o) (OP)'!M142</f>
        <v>JESUS DAVID</v>
      </c>
      <c r="K281" s="7" t="str">
        <f>'[1]V, inciso o) (OP)'!N142</f>
        <v xml:space="preserve">GARZA </v>
      </c>
      <c r="L281" s="7" t="str">
        <f>'[1]V, inciso o) (OP)'!O142</f>
        <v>GARCIA</v>
      </c>
      <c r="M281" s="6" t="s">
        <v>3099</v>
      </c>
      <c r="N281" s="7" t="str">
        <f>'[1]V, inciso o) (OP)'!Q142</f>
        <v>CGG040518F81</v>
      </c>
      <c r="O281" s="11">
        <f>'[1]V, inciso o) (OP)'!Y142</f>
        <v>876527.94</v>
      </c>
      <c r="P281" s="11">
        <v>829712.8899999999</v>
      </c>
      <c r="Q281" s="7" t="s">
        <v>674</v>
      </c>
      <c r="R281" s="11">
        <f>O281/1270</f>
        <v>690.17948031496064</v>
      </c>
      <c r="S281" s="7" t="s">
        <v>41</v>
      </c>
      <c r="T281" s="12">
        <v>258974</v>
      </c>
      <c r="U281" s="13" t="s">
        <v>42</v>
      </c>
      <c r="V281" s="7" t="s">
        <v>43</v>
      </c>
      <c r="W281" s="10">
        <f>'[1]V, inciso o) (OP)'!AD142</f>
        <v>42716</v>
      </c>
      <c r="X281" s="10">
        <f>'[1]V, inciso o) (OP)'!AE142</f>
        <v>42766</v>
      </c>
      <c r="Y281" s="7" t="s">
        <v>603</v>
      </c>
      <c r="Z281" s="7" t="s">
        <v>604</v>
      </c>
      <c r="AA281" s="7" t="s">
        <v>605</v>
      </c>
      <c r="AB281" s="21" t="s">
        <v>1485</v>
      </c>
      <c r="AC281" s="6" t="s">
        <v>2438</v>
      </c>
      <c r="AD281" s="6"/>
    </row>
    <row r="282" spans="1:30" ht="69.95" customHeight="1">
      <c r="A282" s="34">
        <v>277</v>
      </c>
      <c r="B282" s="7">
        <v>2016</v>
      </c>
      <c r="C282" s="6" t="s">
        <v>62</v>
      </c>
      <c r="D282" s="6" t="str">
        <f>'[1]V, inciso o) (OP)'!C143</f>
        <v>DOPI-MUN-RM-IH-AD-277-2016</v>
      </c>
      <c r="E282" s="10">
        <f>'[1]V, inciso o) (OP)'!V143</f>
        <v>42699</v>
      </c>
      <c r="F282" s="6" t="str">
        <f>'[1]V, inciso o) (OP)'!AA143</f>
        <v xml:space="preserve">Construcción de red de drenaje sanitario en la calle Malinalli, de la calle Cholollan a la calle Delli, colonia Mesa Colorada, municipio de Zapopan, Jalisco </v>
      </c>
      <c r="G282" s="6" t="s">
        <v>3308</v>
      </c>
      <c r="H282" s="39">
        <v>924106.84</v>
      </c>
      <c r="I282" s="6" t="s">
        <v>675</v>
      </c>
      <c r="J282" s="6" t="str">
        <f>'[1]V, inciso o) (OP)'!M143</f>
        <v>JOSE ANTONIO</v>
      </c>
      <c r="K282" s="7" t="str">
        <f>'[1]V, inciso o) (OP)'!N143</f>
        <v>ALVAREZ</v>
      </c>
      <c r="L282" s="7" t="str">
        <f>'[1]V, inciso o) (OP)'!O143</f>
        <v>ZULOAGA</v>
      </c>
      <c r="M282" s="6" t="s">
        <v>1863</v>
      </c>
      <c r="N282" s="7" t="str">
        <f>'[1]V, inciso o) (OP)'!Q143</f>
        <v>GDA150928286</v>
      </c>
      <c r="O282" s="11">
        <f>'[1]V, inciso o) (OP)'!Y143</f>
        <v>924106.84</v>
      </c>
      <c r="P282" s="11">
        <v>906230.63</v>
      </c>
      <c r="Q282" s="7" t="s">
        <v>676</v>
      </c>
      <c r="R282" s="11">
        <f>O282/660</f>
        <v>1400.1618787878788</v>
      </c>
      <c r="S282" s="7" t="s">
        <v>41</v>
      </c>
      <c r="T282" s="12">
        <v>342</v>
      </c>
      <c r="U282" s="13" t="s">
        <v>42</v>
      </c>
      <c r="V282" s="7" t="s">
        <v>43</v>
      </c>
      <c r="W282" s="10">
        <f>'[1]V, inciso o) (OP)'!AD143</f>
        <v>42702</v>
      </c>
      <c r="X282" s="10">
        <f>'[1]V, inciso o) (OP)'!AE143</f>
        <v>42750</v>
      </c>
      <c r="Y282" s="7" t="s">
        <v>345</v>
      </c>
      <c r="Z282" s="7" t="s">
        <v>346</v>
      </c>
      <c r="AA282" s="7" t="s">
        <v>347</v>
      </c>
      <c r="AB282" s="21" t="s">
        <v>2574</v>
      </c>
      <c r="AC282" s="6" t="s">
        <v>2438</v>
      </c>
      <c r="AD282" s="6"/>
    </row>
    <row r="283" spans="1:30" ht="69.95" customHeight="1">
      <c r="A283" s="34">
        <v>278</v>
      </c>
      <c r="B283" s="7">
        <v>2016</v>
      </c>
      <c r="C283" s="6" t="s">
        <v>62</v>
      </c>
      <c r="D283" s="6" t="str">
        <f>'[1]V, inciso o) (OP)'!C144</f>
        <v>DOPI-MUN-RM-IH-AD-278-2016</v>
      </c>
      <c r="E283" s="10">
        <f>'[1]V, inciso o) (OP)'!V144</f>
        <v>42706</v>
      </c>
      <c r="F283" s="6" t="str">
        <f>'[1]V, inciso o) (OP)'!AA144</f>
        <v>Instalación de tomas domiciliarias en la colonia Marcelino García Barragán, municipio de Zapopan, Jalisco</v>
      </c>
      <c r="G283" s="6" t="s">
        <v>3308</v>
      </c>
      <c r="H283" s="39">
        <v>626297.09</v>
      </c>
      <c r="I283" s="6" t="s">
        <v>677</v>
      </c>
      <c r="J283" s="6" t="str">
        <f>'[1]V, inciso o) (OP)'!M144</f>
        <v>JAVIER</v>
      </c>
      <c r="K283" s="7" t="str">
        <f>'[1]V, inciso o) (OP)'!N144</f>
        <v xml:space="preserve">ÁVILA </v>
      </c>
      <c r="L283" s="7" t="str">
        <f>'[1]V, inciso o) (OP)'!O144</f>
        <v>FLORES</v>
      </c>
      <c r="M283" s="6" t="s">
        <v>2100</v>
      </c>
      <c r="N283" s="7" t="str">
        <f>'[1]V, inciso o) (OP)'!Q144</f>
        <v>SCC060622HZ3</v>
      </c>
      <c r="O283" s="11">
        <f>'[1]V, inciso o) (OP)'!Y144</f>
        <v>626297.09</v>
      </c>
      <c r="P283" s="11">
        <v>607504.58000000007</v>
      </c>
      <c r="Q283" s="7" t="s">
        <v>678</v>
      </c>
      <c r="R283" s="11">
        <f>O283/447</f>
        <v>1401.112058165548</v>
      </c>
      <c r="S283" s="7" t="s">
        <v>41</v>
      </c>
      <c r="T283" s="12">
        <v>185</v>
      </c>
      <c r="U283" s="13" t="s">
        <v>42</v>
      </c>
      <c r="V283" s="7" t="s">
        <v>43</v>
      </c>
      <c r="W283" s="10">
        <f>'[1]V, inciso o) (OP)'!AD144</f>
        <v>42709</v>
      </c>
      <c r="X283" s="10">
        <f>'[1]V, inciso o) (OP)'!AE144</f>
        <v>42754</v>
      </c>
      <c r="Y283" s="7" t="s">
        <v>331</v>
      </c>
      <c r="Z283" s="7" t="s">
        <v>332</v>
      </c>
      <c r="AA283" s="7" t="s">
        <v>116</v>
      </c>
      <c r="AB283" s="21" t="s">
        <v>1486</v>
      </c>
      <c r="AC283" s="6" t="s">
        <v>2438</v>
      </c>
      <c r="AD283" s="6"/>
    </row>
    <row r="284" spans="1:30" ht="69.95" customHeight="1">
      <c r="A284" s="34">
        <v>279</v>
      </c>
      <c r="B284" s="7">
        <v>2016</v>
      </c>
      <c r="C284" s="6" t="s">
        <v>62</v>
      </c>
      <c r="D284" s="6" t="str">
        <f>'[1]V, inciso o) (OP)'!C145</f>
        <v>DOPI-MUN-RM-SERV-AD-279-2016</v>
      </c>
      <c r="E284" s="10">
        <f>'[1]V, inciso o) (OP)'!V145</f>
        <v>42720</v>
      </c>
      <c r="F284" s="6" t="str">
        <f>'[1]V, inciso o) (OP)'!AA145</f>
        <v>Servicios de consultoría para la elaboración de bases, coordinación técnica del proceso de licitación, contratación y supervisión técnica de la ejecución del complejo C4 Zapopan, municipio de Zapopan, Jalisco</v>
      </c>
      <c r="G284" s="6" t="s">
        <v>63</v>
      </c>
      <c r="H284" s="39">
        <v>1214979.8</v>
      </c>
      <c r="I284" s="6" t="s">
        <v>983</v>
      </c>
      <c r="J284" s="6" t="str">
        <f>'[1]V, inciso o) (OP)'!M145</f>
        <v>DANIEL</v>
      </c>
      <c r="K284" s="7" t="str">
        <f>'[1]V, inciso o) (OP)'!N145</f>
        <v>SEGURA</v>
      </c>
      <c r="L284" s="7" t="str">
        <f>'[1]V, inciso o) (OP)'!O145</f>
        <v>URBANO</v>
      </c>
      <c r="M284" s="6" t="s">
        <v>3100</v>
      </c>
      <c r="N284" s="7" t="str">
        <f>'[1]V, inciso o) (OP)'!Q145</f>
        <v>SEUD690208177</v>
      </c>
      <c r="O284" s="11">
        <f>'[1]V, inciso o) (OP)'!Y145</f>
        <v>1214979.8</v>
      </c>
      <c r="P284" s="11">
        <v>826881.36999999988</v>
      </c>
      <c r="Q284" s="7" t="s">
        <v>679</v>
      </c>
      <c r="R284" s="11">
        <f>O284</f>
        <v>1214979.8</v>
      </c>
      <c r="S284" s="7" t="s">
        <v>121</v>
      </c>
      <c r="T284" s="12" t="s">
        <v>121</v>
      </c>
      <c r="U284" s="13" t="s">
        <v>42</v>
      </c>
      <c r="V284" s="43" t="s">
        <v>43</v>
      </c>
      <c r="W284" s="10">
        <f>'[1]V, inciso o) (OP)'!AD145</f>
        <v>42723</v>
      </c>
      <c r="X284" s="10">
        <f>'[1]V, inciso o) (OP)'!AE145</f>
        <v>42886</v>
      </c>
      <c r="Y284" s="7" t="s">
        <v>680</v>
      </c>
      <c r="Z284" s="7" t="s">
        <v>681</v>
      </c>
      <c r="AA284" s="7" t="s">
        <v>132</v>
      </c>
      <c r="AB284" s="21" t="s">
        <v>1523</v>
      </c>
      <c r="AC284" s="6" t="s">
        <v>2438</v>
      </c>
      <c r="AD284" s="6"/>
    </row>
    <row r="285" spans="1:30" ht="69.95" customHeight="1">
      <c r="A285" s="34">
        <v>280</v>
      </c>
      <c r="B285" s="7">
        <v>2016</v>
      </c>
      <c r="C285" s="6" t="s">
        <v>62</v>
      </c>
      <c r="D285" s="6" t="str">
        <f>'[1]V, inciso o) (OP)'!C146</f>
        <v>DOPI-MUN-R33-IH-AD-280-2016</v>
      </c>
      <c r="E285" s="10">
        <f>'[1]V, inciso o) (OP)'!V146</f>
        <v>42720</v>
      </c>
      <c r="F285" s="6" t="str">
        <f>'[1]V, inciso o) (OP)'!AA146</f>
        <v>Construcción de línea de agua potable en la colonia Prados de Santa Lucía, primera etapa, municipio de Zapopan, Jalisco.</v>
      </c>
      <c r="G285" s="6" t="s">
        <v>3318</v>
      </c>
      <c r="H285" s="39">
        <v>825634.87</v>
      </c>
      <c r="I285" s="6" t="s">
        <v>682</v>
      </c>
      <c r="J285" s="6" t="str">
        <f>'[1]V, inciso o) (OP)'!M146</f>
        <v xml:space="preserve">RODOLFO </v>
      </c>
      <c r="K285" s="7" t="str">
        <f>'[1]V, inciso o) (OP)'!N146</f>
        <v xml:space="preserve">VELAZQUEZ </v>
      </c>
      <c r="L285" s="7" t="str">
        <f>'[1]V, inciso o) (OP)'!O146</f>
        <v>ORDOÑEZ</v>
      </c>
      <c r="M285" s="6" t="s">
        <v>3065</v>
      </c>
      <c r="N285" s="7" t="str">
        <f>'[1]V, inciso o) (OP)'!Q146</f>
        <v>VIE110125RL4</v>
      </c>
      <c r="O285" s="11">
        <f>'[1]V, inciso o) (OP)'!Y146</f>
        <v>825634.87</v>
      </c>
      <c r="P285" s="11">
        <v>625372.74</v>
      </c>
      <c r="Q285" s="7" t="s">
        <v>683</v>
      </c>
      <c r="R285" s="11">
        <f>O285/564</f>
        <v>1463.8916134751773</v>
      </c>
      <c r="S285" s="7" t="s">
        <v>41</v>
      </c>
      <c r="T285" s="12">
        <v>2049</v>
      </c>
      <c r="U285" s="13" t="s">
        <v>42</v>
      </c>
      <c r="V285" s="7" t="s">
        <v>43</v>
      </c>
      <c r="W285" s="10">
        <f>'[1]V, inciso o) (OP)'!AD146</f>
        <v>42723</v>
      </c>
      <c r="X285" s="10">
        <f>'[1]V, inciso o) (OP)'!AE146</f>
        <v>42873</v>
      </c>
      <c r="Y285" s="7" t="s">
        <v>431</v>
      </c>
      <c r="Z285" s="7" t="s">
        <v>181</v>
      </c>
      <c r="AA285" s="7" t="s">
        <v>89</v>
      </c>
      <c r="AB285" s="21" t="s">
        <v>1524</v>
      </c>
      <c r="AC285" s="6" t="s">
        <v>2438</v>
      </c>
      <c r="AD285" s="6"/>
    </row>
    <row r="286" spans="1:30" ht="69.95" customHeight="1">
      <c r="A286" s="34">
        <v>281</v>
      </c>
      <c r="B286" s="7">
        <v>2016</v>
      </c>
      <c r="C286" s="6" t="s">
        <v>62</v>
      </c>
      <c r="D286" s="6" t="str">
        <f>'[1]V, inciso o) (OP)'!C147</f>
        <v>DOPI-MUN-R33-PAV-AD-281-2016</v>
      </c>
      <c r="E286" s="10">
        <f>'[1]V, inciso o) (OP)'!V147</f>
        <v>42720</v>
      </c>
      <c r="F286" s="6" t="str">
        <f>'[1]V, inciso o) (OP)'!AA147</f>
        <v>Pavimentación con concreto hidráulico en la calle Manzanos, colonia Agua Fría, incluye: agua potable, drenaje sanitario, guarniciones, banquetas, accesibilidad y servicios complementarios, en el municipio de Zapopan, Jalisco, frente 1.</v>
      </c>
      <c r="G286" s="6" t="s">
        <v>3318</v>
      </c>
      <c r="H286" s="39">
        <v>1502354.73</v>
      </c>
      <c r="I286" s="6" t="s">
        <v>684</v>
      </c>
      <c r="J286" s="6" t="str">
        <f>'[1]V, inciso o) (OP)'!M147</f>
        <v>RAUL</v>
      </c>
      <c r="K286" s="7" t="str">
        <f>'[1]V, inciso o) (OP)'!N147</f>
        <v xml:space="preserve">ORTEGA </v>
      </c>
      <c r="L286" s="7" t="str">
        <f>'[1]V, inciso o) (OP)'!O147</f>
        <v>JARA</v>
      </c>
      <c r="M286" s="6" t="s">
        <v>3101</v>
      </c>
      <c r="N286" s="7" t="str">
        <f>'[1]V, inciso o) (OP)'!Q147</f>
        <v>CAN030528ME0</v>
      </c>
      <c r="O286" s="11">
        <f>'[1]V, inciso o) (OP)'!Y147</f>
        <v>1502354.73</v>
      </c>
      <c r="P286" s="11">
        <v>1316631.4100000001</v>
      </c>
      <c r="Q286" s="7" t="s">
        <v>685</v>
      </c>
      <c r="R286" s="11">
        <f>O286/1031</f>
        <v>1457.1820853540253</v>
      </c>
      <c r="S286" s="7" t="s">
        <v>41</v>
      </c>
      <c r="T286" s="12">
        <v>2754</v>
      </c>
      <c r="U286" s="13" t="s">
        <v>42</v>
      </c>
      <c r="V286" s="7" t="s">
        <v>43</v>
      </c>
      <c r="W286" s="10">
        <f>'[1]V, inciso o) (OP)'!AD147</f>
        <v>42723</v>
      </c>
      <c r="X286" s="10">
        <f>'[1]V, inciso o) (OP)'!AE147</f>
        <v>42873</v>
      </c>
      <c r="Y286" s="7" t="s">
        <v>441</v>
      </c>
      <c r="Z286" s="7" t="s">
        <v>442</v>
      </c>
      <c r="AA286" s="7" t="s">
        <v>443</v>
      </c>
      <c r="AB286" s="21" t="s">
        <v>1487</v>
      </c>
      <c r="AC286" s="6" t="s">
        <v>2438</v>
      </c>
      <c r="AD286" s="6"/>
    </row>
    <row r="287" spans="1:30" ht="69.95" customHeight="1">
      <c r="A287" s="34">
        <v>282</v>
      </c>
      <c r="B287" s="7">
        <v>2016</v>
      </c>
      <c r="C287" s="6" t="s">
        <v>62</v>
      </c>
      <c r="D287" s="6" t="str">
        <f>'[1]V, inciso o) (OP)'!C148</f>
        <v>DOPI-MUN-R33-PAV-AD-282-2016</v>
      </c>
      <c r="E287" s="10">
        <f>'[1]V, inciso o) (OP)'!V148</f>
        <v>42720</v>
      </c>
      <c r="F287" s="6" t="str">
        <f>'[1]V, inciso o) (OP)'!AA148</f>
        <v>Pavimentación con concreto hidráulico en la calle Manzanos, colonia Agua Fría, incluye: agua potable, drenaje sanitario, guarniciones, banquetas, accesibilidad y servicios complementarios, en el municipio de Zapopan, Jalisco, frente 2.</v>
      </c>
      <c r="G287" s="6" t="s">
        <v>3318</v>
      </c>
      <c r="H287" s="39">
        <v>1495225.08</v>
      </c>
      <c r="I287" s="6" t="s">
        <v>684</v>
      </c>
      <c r="J287" s="6" t="str">
        <f>'[1]V, inciso o) (OP)'!M148</f>
        <v>CARLOS</v>
      </c>
      <c r="K287" s="7" t="str">
        <f>'[1]V, inciso o) (OP)'!N148</f>
        <v>PEREZ</v>
      </c>
      <c r="L287" s="7" t="str">
        <f>'[1]V, inciso o) (OP)'!O148</f>
        <v>CRUZ</v>
      </c>
      <c r="M287" s="6" t="s">
        <v>1965</v>
      </c>
      <c r="N287" s="7" t="str">
        <f>'[1]V, inciso o) (OP)'!Q148</f>
        <v>CPE070123PD4</v>
      </c>
      <c r="O287" s="11">
        <f>'[1]V, inciso o) (OP)'!Y148</f>
        <v>1495225.08</v>
      </c>
      <c r="P287" s="11">
        <v>1381090.27</v>
      </c>
      <c r="Q287" s="7" t="s">
        <v>686</v>
      </c>
      <c r="R287" s="11">
        <f>O287/1027</f>
        <v>1455.915365141188</v>
      </c>
      <c r="S287" s="7" t="s">
        <v>41</v>
      </c>
      <c r="T287" s="12">
        <v>2754</v>
      </c>
      <c r="U287" s="13" t="s">
        <v>42</v>
      </c>
      <c r="V287" s="7" t="s">
        <v>43</v>
      </c>
      <c r="W287" s="10">
        <f>'[1]V, inciso o) (OP)'!AD148</f>
        <v>42723</v>
      </c>
      <c r="X287" s="10">
        <f>'[1]V, inciso o) (OP)'!AE148</f>
        <v>42873</v>
      </c>
      <c r="Y287" s="7" t="s">
        <v>441</v>
      </c>
      <c r="Z287" s="7" t="s">
        <v>442</v>
      </c>
      <c r="AA287" s="7" t="s">
        <v>443</v>
      </c>
      <c r="AB287" s="21" t="s">
        <v>1488</v>
      </c>
      <c r="AC287" s="6" t="s">
        <v>2438</v>
      </c>
      <c r="AD287" s="6"/>
    </row>
    <row r="288" spans="1:30" ht="69.95" customHeight="1">
      <c r="A288" s="34">
        <v>283</v>
      </c>
      <c r="B288" s="7">
        <v>2016</v>
      </c>
      <c r="C288" s="6" t="s">
        <v>62</v>
      </c>
      <c r="D288" s="6" t="str">
        <f>'[1]V, inciso o) (OP)'!C149</f>
        <v>DOPI-MUN-R33-IH-AD-283-2016</v>
      </c>
      <c r="E288" s="10">
        <f>'[1]V, inciso o) (OP)'!V149</f>
        <v>42720</v>
      </c>
      <c r="F288" s="6" t="str">
        <f>'[1]V, inciso o) (OP)'!AA149</f>
        <v>Construcción de línea drenaje sanitario en la calle Miguel Hidalgo, de calle Josefa Ortíz de Domínguez a Cerrada, en la colonia Indígena de Mezquitan Sección I, en el municipio de Zapopan, Jalisco.</v>
      </c>
      <c r="G288" s="6" t="s">
        <v>3318</v>
      </c>
      <c r="H288" s="39">
        <v>702114.36</v>
      </c>
      <c r="I288" s="6" t="s">
        <v>687</v>
      </c>
      <c r="J288" s="6" t="str">
        <f>'[1]V, inciso o) (OP)'!M149</f>
        <v>ABIMAEL</v>
      </c>
      <c r="K288" s="7" t="str">
        <f>'[1]V, inciso o) (OP)'!N149</f>
        <v>MONTUFAR</v>
      </c>
      <c r="L288" s="7" t="str">
        <f>'[1]V, inciso o) (OP)'!O149</f>
        <v>LOPEZ</v>
      </c>
      <c r="M288" s="6" t="s">
        <v>3102</v>
      </c>
      <c r="N288" s="7" t="str">
        <f>'[1]V, inciso o) (OP)'!Q149</f>
        <v>CAC1308225S7</v>
      </c>
      <c r="O288" s="11">
        <f>'[1]V, inciso o) (OP)'!Y149</f>
        <v>702114.36</v>
      </c>
      <c r="P288" s="11">
        <v>426077.74000000005</v>
      </c>
      <c r="Q288" s="7" t="s">
        <v>688</v>
      </c>
      <c r="R288" s="11">
        <f>O288/355</f>
        <v>1977.7869295774647</v>
      </c>
      <c r="S288" s="7" t="s">
        <v>41</v>
      </c>
      <c r="T288" s="12">
        <v>344</v>
      </c>
      <c r="U288" s="13" t="s">
        <v>42</v>
      </c>
      <c r="V288" s="7" t="s">
        <v>43</v>
      </c>
      <c r="W288" s="10">
        <f>'[1]V, inciso o) (OP)'!AD149</f>
        <v>42723</v>
      </c>
      <c r="X288" s="10">
        <f>'[1]V, inciso o) (OP)'!AE149</f>
        <v>42873</v>
      </c>
      <c r="Y288" s="7" t="s">
        <v>431</v>
      </c>
      <c r="Z288" s="7" t="s">
        <v>181</v>
      </c>
      <c r="AA288" s="7" t="s">
        <v>89</v>
      </c>
      <c r="AB288" s="21" t="s">
        <v>1489</v>
      </c>
      <c r="AC288" s="6" t="s">
        <v>2438</v>
      </c>
      <c r="AD288" s="6"/>
    </row>
    <row r="289" spans="1:30" ht="69.95" customHeight="1">
      <c r="A289" s="34">
        <v>1</v>
      </c>
      <c r="B289" s="7">
        <v>2017</v>
      </c>
      <c r="C289" s="6" t="s">
        <v>139</v>
      </c>
      <c r="D289" s="6" t="str">
        <f>'[1]V, inciso p) (OP)'!D148</f>
        <v>DOPI-MUN-RM-PAV-CI-001-2017</v>
      </c>
      <c r="E289" s="10">
        <f>'[1]V, inciso p) (OP)'!AD148</f>
        <v>42790</v>
      </c>
      <c r="F289" s="6" t="str">
        <f>'[1]V, inciso p) (OP)'!AL148</f>
        <v>Rehabilitación del camino a Copalita en el tramo de la Carretera a Colotlán a Copalita (Km. 0+000 al Km. 2+000), muncipio de Zapopan, Jalisco.</v>
      </c>
      <c r="G289" s="6" t="s">
        <v>63</v>
      </c>
      <c r="H289" s="39">
        <v>5476517.9699999997</v>
      </c>
      <c r="I289" s="6" t="s">
        <v>689</v>
      </c>
      <c r="J289" s="6" t="str">
        <f>'[1]V, inciso p) (OP)'!T148</f>
        <v>Antonio</v>
      </c>
      <c r="K289" s="6" t="str">
        <f>'[1]V, inciso p) (OP)'!U148</f>
        <v>Chávez</v>
      </c>
      <c r="L289" s="6" t="str">
        <f>'[1]V, inciso p) (OP)'!V148</f>
        <v>Navarro</v>
      </c>
      <c r="M289" s="6" t="s">
        <v>3033</v>
      </c>
      <c r="N289" s="6" t="str">
        <f>'[1]V, inciso p) (OP)'!X148</f>
        <v>CIC960718BW4</v>
      </c>
      <c r="O289" s="11">
        <f t="shared" ref="O289:O352" si="8">H289</f>
        <v>5476517.9699999997</v>
      </c>
      <c r="P289" s="11">
        <v>5262144.21</v>
      </c>
      <c r="Q289" s="7" t="s">
        <v>690</v>
      </c>
      <c r="R289" s="11">
        <f>O289/17660</f>
        <v>310.10860532276331</v>
      </c>
      <c r="S289" s="7" t="s">
        <v>41</v>
      </c>
      <c r="T289" s="12">
        <v>1456</v>
      </c>
      <c r="U289" s="13" t="s">
        <v>42</v>
      </c>
      <c r="V289" s="43" t="s">
        <v>43</v>
      </c>
      <c r="W289" s="10">
        <f>'[1]V, inciso p) (OP)'!AM148</f>
        <v>42791</v>
      </c>
      <c r="X289" s="10">
        <f>'[1]V, inciso p) (OP)'!AN148</f>
        <v>42835</v>
      </c>
      <c r="Y289" s="6" t="s">
        <v>691</v>
      </c>
      <c r="Z289" s="7" t="s">
        <v>403</v>
      </c>
      <c r="AA289" s="7" t="s">
        <v>104</v>
      </c>
      <c r="AB289" s="21" t="s">
        <v>1325</v>
      </c>
      <c r="AC289" s="6" t="s">
        <v>2438</v>
      </c>
      <c r="AD289" s="6"/>
    </row>
    <row r="290" spans="1:30" ht="69.95" customHeight="1">
      <c r="A290" s="34">
        <v>2</v>
      </c>
      <c r="B290" s="7">
        <v>2017</v>
      </c>
      <c r="C290" s="6" t="s">
        <v>139</v>
      </c>
      <c r="D290" s="6" t="str">
        <f>'[1]V, inciso p) (OP)'!D149</f>
        <v>DOPI-MUN-RM-ELE-CI-002-2017</v>
      </c>
      <c r="E290" s="10">
        <f>'[1]V, inciso p) (OP)'!AD149</f>
        <v>42790</v>
      </c>
      <c r="F290" s="6" t="str">
        <f>'[1]V, inciso p) (OP)'!AL149</f>
        <v>Primera etapa de la rehabilitación de la red de media y baja tensión, alumbrado público, en la colonia Constitución, municipio de Zapopan, Jalisco.</v>
      </c>
      <c r="G290" s="6" t="s">
        <v>63</v>
      </c>
      <c r="H290" s="39">
        <v>4994034.3099999996</v>
      </c>
      <c r="I290" s="6" t="str">
        <f>'[1]V, inciso p) (OP)'!AS149</f>
        <v>Col. Constitución</v>
      </c>
      <c r="J290" s="6" t="str">
        <f>'[1]V, inciso p) (OP)'!T149</f>
        <v>Pia Lorena</v>
      </c>
      <c r="K290" s="6" t="str">
        <f>'[1]V, inciso p) (OP)'!U149</f>
        <v>Buenrostro</v>
      </c>
      <c r="L290" s="6" t="str">
        <f>'[1]V, inciso p) (OP)'!V149</f>
        <v>Ahued</v>
      </c>
      <c r="M290" s="6" t="s">
        <v>3036</v>
      </c>
      <c r="N290" s="6" t="str">
        <f>'[1]V, inciso p) (OP)'!X149</f>
        <v>BCO070129512</v>
      </c>
      <c r="O290" s="11">
        <f t="shared" si="8"/>
        <v>4994034.3099999996</v>
      </c>
      <c r="P290" s="11">
        <v>4870582.7700000005</v>
      </c>
      <c r="Q290" s="7" t="s">
        <v>692</v>
      </c>
      <c r="R290" s="11">
        <f>O290/1700</f>
        <v>2937.6672411764703</v>
      </c>
      <c r="S290" s="7" t="s">
        <v>41</v>
      </c>
      <c r="T290" s="12">
        <v>25400</v>
      </c>
      <c r="U290" s="13" t="s">
        <v>42</v>
      </c>
      <c r="V290" s="43" t="s">
        <v>43</v>
      </c>
      <c r="W290" s="10">
        <f>'[1]V, inciso p) (OP)'!AM149</f>
        <v>42791</v>
      </c>
      <c r="X290" s="10">
        <f>'[1]V, inciso p) (OP)'!AN149</f>
        <v>42835</v>
      </c>
      <c r="Y290" s="6" t="s">
        <v>693</v>
      </c>
      <c r="Z290" s="7" t="s">
        <v>72</v>
      </c>
      <c r="AA290" s="7" t="s">
        <v>73</v>
      </c>
      <c r="AB290" s="21" t="s">
        <v>2575</v>
      </c>
      <c r="AC290" s="6" t="s">
        <v>2438</v>
      </c>
      <c r="AD290" s="6"/>
    </row>
    <row r="291" spans="1:30" ht="69.95" customHeight="1">
      <c r="A291" s="34">
        <v>3</v>
      </c>
      <c r="B291" s="7">
        <v>2017</v>
      </c>
      <c r="C291" s="6" t="s">
        <v>139</v>
      </c>
      <c r="D291" s="6" t="str">
        <f>'[1]V, inciso p) (OP)'!D150</f>
        <v>DOPI-MUN-RM-EP-CI-003-2017</v>
      </c>
      <c r="E291" s="10">
        <f>'[1]V, inciso p) (OP)'!AD150</f>
        <v>42790</v>
      </c>
      <c r="F291" s="6" t="str">
        <f>'[1]V, inciso p) (OP)'!AL150</f>
        <v>Rehabilitación de la Unidad Administrativa Las Aguilas (cubierta, pintura, instalaciones eléctricas, instalaciones hidráulicas, nave central, impermeabilización, accesibilidad, baños, puertas de acceso principal), municipio de Zapopan, Jalisco.</v>
      </c>
      <c r="G291" s="6" t="s">
        <v>63</v>
      </c>
      <c r="H291" s="39">
        <v>2493488.7200000002</v>
      </c>
      <c r="I291" s="6" t="str">
        <f>'[1]V, inciso p) (OP)'!AS150</f>
        <v>Col. Las Aguilas</v>
      </c>
      <c r="J291" s="6" t="str">
        <f>'[1]V, inciso p) (OP)'!T150</f>
        <v xml:space="preserve">Eduardo </v>
      </c>
      <c r="K291" s="6" t="str">
        <f>'[1]V, inciso p) (OP)'!U150</f>
        <v>Plascencia</v>
      </c>
      <c r="L291" s="6" t="str">
        <f>'[1]V, inciso p) (OP)'!V150</f>
        <v>Macias</v>
      </c>
      <c r="M291" s="6" t="s">
        <v>2975</v>
      </c>
      <c r="N291" s="6" t="str">
        <f>'[1]V, inciso p) (OP)'!X150</f>
        <v>CEP080129EK6</v>
      </c>
      <c r="O291" s="11">
        <f t="shared" si="8"/>
        <v>2493488.7200000002</v>
      </c>
      <c r="P291" s="11">
        <v>2493488.71</v>
      </c>
      <c r="Q291" s="7" t="s">
        <v>694</v>
      </c>
      <c r="R291" s="11">
        <f>O291/691</f>
        <v>3608.5220260492042</v>
      </c>
      <c r="S291" s="7" t="s">
        <v>41</v>
      </c>
      <c r="T291" s="12">
        <v>279130</v>
      </c>
      <c r="U291" s="13" t="s">
        <v>42</v>
      </c>
      <c r="V291" s="7" t="s">
        <v>43</v>
      </c>
      <c r="W291" s="10">
        <f>'[1]V, inciso p) (OP)'!AM150</f>
        <v>42791</v>
      </c>
      <c r="X291" s="10">
        <f>'[1]V, inciso p) (OP)'!AN150</f>
        <v>42850</v>
      </c>
      <c r="Y291" s="6" t="s">
        <v>693</v>
      </c>
      <c r="Z291" s="7" t="s">
        <v>72</v>
      </c>
      <c r="AA291" s="7" t="s">
        <v>73</v>
      </c>
      <c r="AB291" s="21" t="s">
        <v>2576</v>
      </c>
      <c r="AC291" s="6" t="s">
        <v>2438</v>
      </c>
      <c r="AD291" s="6"/>
    </row>
    <row r="292" spans="1:30" ht="69.95" customHeight="1">
      <c r="A292" s="34">
        <v>5</v>
      </c>
      <c r="B292" s="7">
        <v>2017</v>
      </c>
      <c r="C292" s="7" t="s">
        <v>62</v>
      </c>
      <c r="D292" s="6" t="str">
        <f>'[1]V, inciso o) (OP)'!C150</f>
        <v>DOPI-MUN-FORTA-PROY-AD-005-2017</v>
      </c>
      <c r="E292" s="10">
        <f>'[1]V, inciso o) (OP)'!V150</f>
        <v>42793</v>
      </c>
      <c r="F292" s="6" t="str">
        <f>'[1]V, inciso o) (OP)'!AA150</f>
        <v>Elaboración de proyectos arquitectónicos en diferentes obras del programa 2017, municipio de Zapopan, Jalisco.</v>
      </c>
      <c r="G292" s="6" t="s">
        <v>3322</v>
      </c>
      <c r="H292" s="39">
        <v>1496360.35</v>
      </c>
      <c r="I292" s="6" t="s">
        <v>1024</v>
      </c>
      <c r="J292" s="6" t="str">
        <f>'[1]V, inciso o) (OP)'!M150</f>
        <v>Juan Francisco</v>
      </c>
      <c r="K292" s="7" t="str">
        <f>'[1]V, inciso o) (OP)'!N150</f>
        <v>Toscano</v>
      </c>
      <c r="L292" s="7" t="str">
        <f>'[1]V, inciso o) (OP)'!O150</f>
        <v>Lases</v>
      </c>
      <c r="M292" s="6" t="s">
        <v>2958</v>
      </c>
      <c r="N292" s="7" t="str">
        <f>'[1]V, inciso o) (OP)'!Q150</f>
        <v>IDO100427QG2</v>
      </c>
      <c r="O292" s="11">
        <f t="shared" si="8"/>
        <v>1496360.35</v>
      </c>
      <c r="P292" s="11">
        <v>1396137.59</v>
      </c>
      <c r="Q292" s="7" t="s">
        <v>695</v>
      </c>
      <c r="R292" s="11">
        <f>O292/21</f>
        <v>71255.254761904769</v>
      </c>
      <c r="S292" s="7" t="s">
        <v>121</v>
      </c>
      <c r="T292" s="12" t="s">
        <v>121</v>
      </c>
      <c r="U292" s="13" t="s">
        <v>42</v>
      </c>
      <c r="V292" s="43" t="s">
        <v>43</v>
      </c>
      <c r="W292" s="10">
        <f>'[1]V, inciso o) (OP)'!AD150</f>
        <v>42795</v>
      </c>
      <c r="X292" s="10">
        <f>'[1]V, inciso o) (OP)'!AE150</f>
        <v>42947</v>
      </c>
      <c r="Y292" s="7" t="s">
        <v>680</v>
      </c>
      <c r="Z292" s="7" t="s">
        <v>681</v>
      </c>
      <c r="AA292" s="7" t="s">
        <v>132</v>
      </c>
      <c r="AB292" s="21" t="s">
        <v>2291</v>
      </c>
      <c r="AC292" s="6" t="s">
        <v>2438</v>
      </c>
      <c r="AD292" s="6"/>
    </row>
    <row r="293" spans="1:30" ht="69.95" customHeight="1">
      <c r="A293" s="34">
        <v>8</v>
      </c>
      <c r="B293" s="7">
        <v>2017</v>
      </c>
      <c r="C293" s="7" t="s">
        <v>62</v>
      </c>
      <c r="D293" s="6" t="str">
        <f>'[1]V, inciso o) (OP)'!C151</f>
        <v>DOPI-MUN-RM-IH-AD-008-2017</v>
      </c>
      <c r="E293" s="10">
        <f>'[1]V, inciso o) (OP)'!V154</f>
        <v>42793</v>
      </c>
      <c r="F293" s="6" t="str">
        <f>'[1]V, inciso o) (OP)'!AA151</f>
        <v>Rehabilitación de líneas de agua potable y alcantarillado sanitario, en la Av. Ángel Leaño, tramo zona del Nixticuil, municipio de Zapopan, Jalisco.</v>
      </c>
      <c r="G293" s="6" t="s">
        <v>3322</v>
      </c>
      <c r="H293" s="39">
        <v>1485041.89</v>
      </c>
      <c r="I293" s="6" t="s">
        <v>696</v>
      </c>
      <c r="J293" s="6" t="str">
        <f>'[1]V, inciso o) (OP)'!M151</f>
        <v>Edwin</v>
      </c>
      <c r="K293" s="7" t="str">
        <f>'[1]V, inciso o) (OP)'!N151</f>
        <v>Aguiar</v>
      </c>
      <c r="L293" s="7" t="str">
        <f>'[1]V, inciso o) (OP)'!O151</f>
        <v>Escatel</v>
      </c>
      <c r="M293" s="6" t="s">
        <v>3103</v>
      </c>
      <c r="N293" s="7" t="str">
        <f>'[1]V, inciso o) (OP)'!Q151</f>
        <v>MUR090325P33</v>
      </c>
      <c r="O293" s="11">
        <f t="shared" si="8"/>
        <v>1485041.89</v>
      </c>
      <c r="P293" s="11">
        <v>1466400.55</v>
      </c>
      <c r="Q293" s="7" t="s">
        <v>697</v>
      </c>
      <c r="R293" s="11">
        <f>O293/600</f>
        <v>2475.0698166666666</v>
      </c>
      <c r="S293" s="7" t="s">
        <v>41</v>
      </c>
      <c r="T293" s="12">
        <v>3189</v>
      </c>
      <c r="U293" s="13" t="s">
        <v>42</v>
      </c>
      <c r="V293" s="43" t="s">
        <v>43</v>
      </c>
      <c r="W293" s="10">
        <f>'[1]V, inciso o) (OP)'!AD151</f>
        <v>42793</v>
      </c>
      <c r="X293" s="10">
        <f>'[1]V, inciso o) (OP)'!AE151</f>
        <v>42858</v>
      </c>
      <c r="Y293" s="7" t="s">
        <v>380</v>
      </c>
      <c r="Z293" s="7" t="s">
        <v>203</v>
      </c>
      <c r="AA293" s="7" t="s">
        <v>46</v>
      </c>
      <c r="AB293" s="21" t="s">
        <v>2577</v>
      </c>
      <c r="AC293" s="6" t="s">
        <v>2438</v>
      </c>
      <c r="AD293" s="6"/>
    </row>
    <row r="294" spans="1:30" ht="69.95" customHeight="1">
      <c r="A294" s="34">
        <v>9</v>
      </c>
      <c r="B294" s="7">
        <v>2017</v>
      </c>
      <c r="C294" s="7" t="s">
        <v>62</v>
      </c>
      <c r="D294" s="6" t="str">
        <f>'[1]V, inciso o) (OP)'!C152</f>
        <v>DOPI-MUN-FORTA-SER-AD-009-2017</v>
      </c>
      <c r="E294" s="10">
        <f>'[1]V, inciso o) (OP)'!V155</f>
        <v>42811</v>
      </c>
      <c r="F294" s="6" t="str">
        <f>'[1]V, inciso o) (OP)'!AA152</f>
        <v>Elaboración de peritajes estructurales en infraestructura urbana, municipio de Zapopan, Jalisco.</v>
      </c>
      <c r="G294" s="6" t="s">
        <v>3322</v>
      </c>
      <c r="H294" s="39">
        <v>985746.57</v>
      </c>
      <c r="I294" s="6" t="s">
        <v>120</v>
      </c>
      <c r="J294" s="6" t="str">
        <f>'[1]V, inciso o) (OP)'!M152</f>
        <v>Héctor Manuel</v>
      </c>
      <c r="K294" s="7" t="str">
        <f>'[1]V, inciso o) (OP)'!N152</f>
        <v>Zepeda</v>
      </c>
      <c r="L294" s="7" t="str">
        <f>'[1]V, inciso o) (OP)'!O152</f>
        <v>Angulo</v>
      </c>
      <c r="M294" s="6" t="s">
        <v>3104</v>
      </c>
      <c r="N294" s="7" t="str">
        <f>'[1]V, inciso o) (OP)'!Q152</f>
        <v>CIC680115AK4</v>
      </c>
      <c r="O294" s="11">
        <f t="shared" si="8"/>
        <v>985746.57</v>
      </c>
      <c r="P294" s="11">
        <v>448920</v>
      </c>
      <c r="Q294" s="7" t="s">
        <v>120</v>
      </c>
      <c r="R294" s="11" t="s">
        <v>120</v>
      </c>
      <c r="S294" s="7" t="s">
        <v>121</v>
      </c>
      <c r="T294" s="12" t="s">
        <v>121</v>
      </c>
      <c r="U294" s="13" t="s">
        <v>42</v>
      </c>
      <c r="V294" s="43" t="s">
        <v>43</v>
      </c>
      <c r="W294" s="10">
        <f>'[1]V, inciso o) (OP)'!AD152</f>
        <v>42814</v>
      </c>
      <c r="X294" s="10">
        <f>'[1]V, inciso o) (OP)'!AE152</f>
        <v>42977</v>
      </c>
      <c r="Y294" s="7" t="s">
        <v>698</v>
      </c>
      <c r="Z294" s="7" t="s">
        <v>522</v>
      </c>
      <c r="AA294" s="7" t="s">
        <v>523</v>
      </c>
      <c r="AB294" s="21" t="s">
        <v>1525</v>
      </c>
      <c r="AC294" s="6" t="s">
        <v>2438</v>
      </c>
      <c r="AD294" s="6"/>
    </row>
    <row r="295" spans="1:30" ht="69.95" customHeight="1">
      <c r="A295" s="34">
        <v>10</v>
      </c>
      <c r="B295" s="7">
        <v>2017</v>
      </c>
      <c r="C295" s="7" t="s">
        <v>62</v>
      </c>
      <c r="D295" s="6" t="str">
        <f>'[1]V, inciso o) (OP)'!C153</f>
        <v>DOPI-MUN-FORTA-PROY-AD-010-2017</v>
      </c>
      <c r="E295" s="10">
        <f>'[1]V, inciso o) (OP)'!V156</f>
        <v>42797</v>
      </c>
      <c r="F295" s="6" t="str">
        <f>'[1]V, inciso o) (OP)'!AA153</f>
        <v>Diagnóstico, diseño y proyectos de infraestructura eléctrica 2017, primera etapa, municipio de Zapopan, Jalisco.</v>
      </c>
      <c r="G295" s="6" t="s">
        <v>3322</v>
      </c>
      <c r="H295" s="39">
        <v>1002698.13</v>
      </c>
      <c r="I295" s="6" t="s">
        <v>120</v>
      </c>
      <c r="J295" s="6" t="str">
        <f>'[1]V, inciso o) (OP)'!M153</f>
        <v>Pia Lorena</v>
      </c>
      <c r="K295" s="7" t="str">
        <f>'[1]V, inciso o) (OP)'!N153</f>
        <v>Buenrostro</v>
      </c>
      <c r="L295" s="7" t="str">
        <f>'[1]V, inciso o) (OP)'!O153</f>
        <v>Ahued</v>
      </c>
      <c r="M295" s="6" t="s">
        <v>3036</v>
      </c>
      <c r="N295" s="7" t="str">
        <f>'[1]V, inciso o) (OP)'!Q153</f>
        <v>BCO070129512</v>
      </c>
      <c r="O295" s="11">
        <f t="shared" si="8"/>
        <v>1002698.13</v>
      </c>
      <c r="P295" s="11">
        <v>1001069.12</v>
      </c>
      <c r="Q295" s="7" t="s">
        <v>120</v>
      </c>
      <c r="R295" s="11" t="s">
        <v>120</v>
      </c>
      <c r="S295" s="7" t="s">
        <v>121</v>
      </c>
      <c r="T295" s="12" t="s">
        <v>121</v>
      </c>
      <c r="U295" s="13" t="s">
        <v>42</v>
      </c>
      <c r="V295" s="43" t="s">
        <v>43</v>
      </c>
      <c r="W295" s="10">
        <f>'[1]V, inciso o) (OP)'!AD153</f>
        <v>42814</v>
      </c>
      <c r="X295" s="10">
        <f>'[1]V, inciso o) (OP)'!AE153</f>
        <v>42977</v>
      </c>
      <c r="Y295" s="7" t="s">
        <v>699</v>
      </c>
      <c r="Z295" s="7" t="s">
        <v>296</v>
      </c>
      <c r="AA295" s="7" t="s">
        <v>297</v>
      </c>
      <c r="AB295" s="21" t="s">
        <v>2578</v>
      </c>
      <c r="AC295" s="6" t="s">
        <v>2438</v>
      </c>
      <c r="AD295" s="6"/>
    </row>
    <row r="296" spans="1:30" ht="69.95" customHeight="1">
      <c r="A296" s="34">
        <v>11</v>
      </c>
      <c r="B296" s="7">
        <v>2017</v>
      </c>
      <c r="C296" s="7" t="s">
        <v>62</v>
      </c>
      <c r="D296" s="6" t="str">
        <f>'[1]V, inciso o) (OP)'!C154</f>
        <v>DOPI-MUN-FORTA-PROY-AD-011-2017</v>
      </c>
      <c r="E296" s="10">
        <f>'[1]V, inciso o) (OP)'!V157</f>
        <v>42811</v>
      </c>
      <c r="F296" s="6" t="str">
        <f>'[1]V, inciso o) (OP)'!AA154</f>
        <v>Proyecto ejecutivo para la construcción de ciclovia y rehabilitación de banquetas en la Glorieta Chapalita y la Av. Guadalupe de la Glorieta Chapalita a la Av. Niño Obrero, municipio de Zapopan, Jalisco.</v>
      </c>
      <c r="G296" s="6" t="s">
        <v>3322</v>
      </c>
      <c r="H296" s="39">
        <v>472500.2</v>
      </c>
      <c r="I296" s="6" t="s">
        <v>700</v>
      </c>
      <c r="J296" s="6" t="str">
        <f>'[1]V, inciso o) (OP)'!M154</f>
        <v xml:space="preserve">Rene </v>
      </c>
      <c r="K296" s="7" t="str">
        <f>'[1]V, inciso o) (OP)'!N154</f>
        <v>Caro</v>
      </c>
      <c r="L296" s="7" t="str">
        <f>'[1]V, inciso o) (OP)'!O154</f>
        <v>Gómez</v>
      </c>
      <c r="M296" s="6" t="s">
        <v>3105</v>
      </c>
      <c r="N296" s="7" t="str">
        <f>'[1]V, inciso o) (OP)'!Q154</f>
        <v>CAGR720818NC1</v>
      </c>
      <c r="O296" s="11">
        <f t="shared" si="8"/>
        <v>472500.2</v>
      </c>
      <c r="P296" s="11">
        <v>472500.2</v>
      </c>
      <c r="Q296" s="7" t="s">
        <v>701</v>
      </c>
      <c r="R296" s="11">
        <f>O296</f>
        <v>472500.2</v>
      </c>
      <c r="S296" s="7" t="s">
        <v>121</v>
      </c>
      <c r="T296" s="12" t="s">
        <v>121</v>
      </c>
      <c r="U296" s="13" t="s">
        <v>42</v>
      </c>
      <c r="V296" s="7" t="s">
        <v>43</v>
      </c>
      <c r="W296" s="10">
        <f>'[1]V, inciso o) (OP)'!AD154</f>
        <v>42795</v>
      </c>
      <c r="X296" s="10">
        <f>'[1]V, inciso o) (OP)'!AE154</f>
        <v>42886</v>
      </c>
      <c r="Y296" s="7" t="s">
        <v>680</v>
      </c>
      <c r="Z296" s="7" t="s">
        <v>681</v>
      </c>
      <c r="AA296" s="7" t="s">
        <v>132</v>
      </c>
      <c r="AB296" s="21" t="s">
        <v>2579</v>
      </c>
      <c r="AC296" s="6" t="s">
        <v>2438</v>
      </c>
      <c r="AD296" s="6"/>
    </row>
    <row r="297" spans="1:30" ht="69.95" customHeight="1">
      <c r="A297" s="34">
        <v>12</v>
      </c>
      <c r="B297" s="7">
        <v>2017</v>
      </c>
      <c r="C297" s="7" t="s">
        <v>62</v>
      </c>
      <c r="D297" s="6" t="str">
        <f>'[1]V, inciso o) (OP)'!C155</f>
        <v>DOPI-MUN-FORTA-ID-AD-012-2017</v>
      </c>
      <c r="E297" s="10">
        <f>'[1]V, inciso o) (OP)'!V158</f>
        <v>42811</v>
      </c>
      <c r="F297" s="6" t="str">
        <f>'[1]V, inciso o) (OP)'!AA155</f>
        <v>Construcción de Skatepark en la Unidad Deportiva Santa Margarita, municipio de Zapopan, Jalisco.</v>
      </c>
      <c r="G297" s="6" t="s">
        <v>3322</v>
      </c>
      <c r="H297" s="39">
        <v>1045280.32</v>
      </c>
      <c r="I297" s="6" t="s">
        <v>609</v>
      </c>
      <c r="J297" s="6" t="str">
        <f>'[1]V, inciso o) (OP)'!M155</f>
        <v>DAVID</v>
      </c>
      <c r="K297" s="7" t="str">
        <f>'[1]V, inciso o) (OP)'!N155</f>
        <v>LEDESMA</v>
      </c>
      <c r="L297" s="7" t="str">
        <f>'[1]V, inciso o) (OP)'!O155</f>
        <v>MARTIN DEL CAMPO</v>
      </c>
      <c r="M297" s="6" t="s">
        <v>3106</v>
      </c>
      <c r="N297" s="7" t="str">
        <f>'[1]V, inciso o) (OP)'!Q155</f>
        <v>LEMD880217U53</v>
      </c>
      <c r="O297" s="11">
        <f t="shared" si="8"/>
        <v>1045280.32</v>
      </c>
      <c r="P297" s="11">
        <v>1045276.71</v>
      </c>
      <c r="Q297" s="7" t="s">
        <v>702</v>
      </c>
      <c r="R297" s="11">
        <f>O297/490</f>
        <v>2133.2251428571426</v>
      </c>
      <c r="S297" s="7" t="s">
        <v>41</v>
      </c>
      <c r="T297" s="12">
        <v>6963</v>
      </c>
      <c r="U297" s="13" t="s">
        <v>42</v>
      </c>
      <c r="V297" s="43" t="s">
        <v>43</v>
      </c>
      <c r="W297" s="10">
        <f>'[1]V, inciso o) (OP)'!AD155</f>
        <v>42814</v>
      </c>
      <c r="X297" s="10">
        <f>'[1]V, inciso o) (OP)'!AE155</f>
        <v>42886</v>
      </c>
      <c r="Y297" s="7" t="s">
        <v>703</v>
      </c>
      <c r="Z297" s="7" t="s">
        <v>604</v>
      </c>
      <c r="AA297" s="7" t="s">
        <v>605</v>
      </c>
      <c r="AB297" s="21" t="s">
        <v>2580</v>
      </c>
      <c r="AC297" s="6" t="s">
        <v>2438</v>
      </c>
      <c r="AD297" s="6"/>
    </row>
    <row r="298" spans="1:30" ht="69.95" customHeight="1">
      <c r="A298" s="34">
        <v>13</v>
      </c>
      <c r="B298" s="7">
        <v>2017</v>
      </c>
      <c r="C298" s="7" t="s">
        <v>62</v>
      </c>
      <c r="D298" s="6" t="str">
        <f>'[1]V, inciso o) (OP)'!C156</f>
        <v>DOPI-MUN-FORTA-ELE-AD-013-2017</v>
      </c>
      <c r="E298" s="10">
        <f>'[1]V, inciso o) (OP)'!V159</f>
        <v>42811</v>
      </c>
      <c r="F298" s="6" t="str">
        <f>'[1]V, inciso o) (OP)'!AA156</f>
        <v>Instalación de la media tensión, equipos de medición y alimentación a tableros en la Unidad Deportiva El Polvorín, municipio de Zapopan, Jalisco.</v>
      </c>
      <c r="G298" s="6" t="s">
        <v>3322</v>
      </c>
      <c r="H298" s="39">
        <v>603813.25</v>
      </c>
      <c r="I298" s="6" t="s">
        <v>136</v>
      </c>
      <c r="J298" s="6" t="str">
        <f>'[1]V, inciso o) (OP)'!M156</f>
        <v>FAUSTO</v>
      </c>
      <c r="K298" s="7" t="str">
        <f>'[1]V, inciso o) (OP)'!N156</f>
        <v>GARNICA</v>
      </c>
      <c r="L298" s="7" t="str">
        <f>'[1]V, inciso o) (OP)'!O156</f>
        <v>PADILLA</v>
      </c>
      <c r="M298" s="6" t="s">
        <v>3107</v>
      </c>
      <c r="N298" s="7" t="str">
        <f>'[1]V, inciso o) (OP)'!Q156</f>
        <v>GAPF5912193V9</v>
      </c>
      <c r="O298" s="11">
        <f t="shared" si="8"/>
        <v>603813.25</v>
      </c>
      <c r="P298" s="11">
        <v>423667.83</v>
      </c>
      <c r="Q298" s="7" t="s">
        <v>704</v>
      </c>
      <c r="R298" s="11">
        <f>O298/80</f>
        <v>7547.6656249999996</v>
      </c>
      <c r="S298" s="7" t="s">
        <v>41</v>
      </c>
      <c r="T298" s="12">
        <v>2184</v>
      </c>
      <c r="U298" s="13" t="s">
        <v>42</v>
      </c>
      <c r="V298" s="7" t="s">
        <v>43</v>
      </c>
      <c r="W298" s="10">
        <f>'[1]V, inciso o) (OP)'!AD156</f>
        <v>42800</v>
      </c>
      <c r="X298" s="10">
        <f>'[1]V, inciso o) (OP)'!AE156</f>
        <v>42886</v>
      </c>
      <c r="Y298" s="7" t="s">
        <v>705</v>
      </c>
      <c r="Z298" s="7" t="s">
        <v>149</v>
      </c>
      <c r="AA298" s="7" t="s">
        <v>130</v>
      </c>
      <c r="AB298" s="21" t="s">
        <v>2581</v>
      </c>
      <c r="AC298" s="6" t="s">
        <v>2438</v>
      </c>
      <c r="AD298" s="6"/>
    </row>
    <row r="299" spans="1:30" ht="69.95" customHeight="1">
      <c r="A299" s="34">
        <v>14</v>
      </c>
      <c r="B299" s="7">
        <v>2017</v>
      </c>
      <c r="C299" s="7" t="s">
        <v>62</v>
      </c>
      <c r="D299" s="6" t="str">
        <f>'[1]V, inciso o) (OP)'!C157</f>
        <v>DOPI-MUN-FORTA-ELE-AD-014-2017</v>
      </c>
      <c r="E299" s="10">
        <f>'[1]V, inciso o) (OP)'!V160</f>
        <v>42811</v>
      </c>
      <c r="F299" s="6" t="str">
        <f>'[1]V, inciso o) (OP)'!AA157</f>
        <v>Alumbrado en andadores, canchas y áreas comunes en la Unidad Deportiva El Polvorín, municipio de Zapopan, Jalisco.</v>
      </c>
      <c r="G299" s="6" t="s">
        <v>3322</v>
      </c>
      <c r="H299" s="39">
        <v>1377688.14</v>
      </c>
      <c r="I299" s="6" t="s">
        <v>136</v>
      </c>
      <c r="J299" s="6" t="str">
        <f>'[1]V, inciso o) (OP)'!M157</f>
        <v>HECTOR MANUEL</v>
      </c>
      <c r="K299" s="7" t="str">
        <f>'[1]V, inciso o) (OP)'!N157</f>
        <v>ALVAREZ</v>
      </c>
      <c r="L299" s="7" t="str">
        <f>'[1]V, inciso o) (OP)'!O157</f>
        <v>ORGANISTA</v>
      </c>
      <c r="M299" s="6" t="s">
        <v>3108</v>
      </c>
      <c r="N299" s="7" t="str">
        <f>'[1]V, inciso o) (OP)'!Q157</f>
        <v>ACC0202071Z6</v>
      </c>
      <c r="O299" s="11">
        <f t="shared" si="8"/>
        <v>1377688.14</v>
      </c>
      <c r="P299" s="11">
        <v>1206927.72</v>
      </c>
      <c r="Q299" s="7" t="s">
        <v>706</v>
      </c>
      <c r="R299" s="11">
        <f>O299/40</f>
        <v>34442.203499999996</v>
      </c>
      <c r="S299" s="7" t="s">
        <v>41</v>
      </c>
      <c r="T299" s="12">
        <v>2184</v>
      </c>
      <c r="U299" s="13" t="s">
        <v>42</v>
      </c>
      <c r="V299" s="7" t="s">
        <v>43</v>
      </c>
      <c r="W299" s="10">
        <f>'[1]V, inciso o) (OP)'!AD157</f>
        <v>42814</v>
      </c>
      <c r="X299" s="10">
        <f>'[1]V, inciso o) (OP)'!AE157</f>
        <v>42886</v>
      </c>
      <c r="Y299" s="7" t="s">
        <v>705</v>
      </c>
      <c r="Z299" s="7" t="s">
        <v>149</v>
      </c>
      <c r="AA299" s="7" t="s">
        <v>130</v>
      </c>
      <c r="AB299" s="21" t="s">
        <v>2582</v>
      </c>
      <c r="AC299" s="6" t="s">
        <v>2438</v>
      </c>
      <c r="AD299" s="6"/>
    </row>
    <row r="300" spans="1:30" ht="69.95" customHeight="1">
      <c r="A300" s="34">
        <v>15</v>
      </c>
      <c r="B300" s="7">
        <v>2017</v>
      </c>
      <c r="C300" s="7" t="s">
        <v>62</v>
      </c>
      <c r="D300" s="6" t="str">
        <f>'[1]V, inciso o) (OP)'!C158</f>
        <v>DOPI-MUN-FORTA-ID-AD-015-2017</v>
      </c>
      <c r="E300" s="10">
        <f>'[1]V, inciso o) (OP)'!V161</f>
        <v>42811</v>
      </c>
      <c r="F300" s="6" t="str">
        <f>'[1]V, inciso o) (OP)'!AA158</f>
        <v>Construcción cancha de voleibol de playa, rehabilitación de andador, instalaciones para la operación, mobiliario urbano y obra  complementaria en la Unidad Deportiva El Polvorín, municipio de Zapopan, Jalisco.</v>
      </c>
      <c r="G300" s="6" t="s">
        <v>3322</v>
      </c>
      <c r="H300" s="39">
        <v>1502150.14</v>
      </c>
      <c r="I300" s="6" t="s">
        <v>136</v>
      </c>
      <c r="J300" s="6" t="str">
        <f>'[1]V, inciso o) (OP)'!M158</f>
        <v>MARIA EUGENIA</v>
      </c>
      <c r="K300" s="7" t="str">
        <f>'[1]V, inciso o) (OP)'!N158</f>
        <v xml:space="preserve">CORTES </v>
      </c>
      <c r="L300" s="7" t="str">
        <f>'[1]V, inciso o) (OP)'!O158</f>
        <v>GONZALEZ</v>
      </c>
      <c r="M300" s="6" t="s">
        <v>3109</v>
      </c>
      <c r="N300" s="7" t="str">
        <f>'[1]V, inciso o) (OP)'!Q158</f>
        <v>ASP100215RH9</v>
      </c>
      <c r="O300" s="11">
        <f t="shared" si="8"/>
        <v>1502150.14</v>
      </c>
      <c r="P300" s="11">
        <v>1324577.74</v>
      </c>
      <c r="Q300" s="7" t="s">
        <v>707</v>
      </c>
      <c r="R300" s="11">
        <f>O300/504</f>
        <v>2980.4566269841266</v>
      </c>
      <c r="S300" s="7" t="s">
        <v>41</v>
      </c>
      <c r="T300" s="12">
        <v>2184</v>
      </c>
      <c r="U300" s="13" t="s">
        <v>42</v>
      </c>
      <c r="V300" s="43" t="s">
        <v>43</v>
      </c>
      <c r="W300" s="10">
        <f>'[1]V, inciso o) (OP)'!AD158</f>
        <v>42814</v>
      </c>
      <c r="X300" s="10">
        <f>'[1]V, inciso o) (OP)'!AE158</f>
        <v>42886</v>
      </c>
      <c r="Y300" s="7" t="s">
        <v>705</v>
      </c>
      <c r="Z300" s="7" t="s">
        <v>149</v>
      </c>
      <c r="AA300" s="7" t="s">
        <v>130</v>
      </c>
      <c r="AB300" s="21" t="s">
        <v>2292</v>
      </c>
      <c r="AC300" s="6" t="s">
        <v>2438</v>
      </c>
      <c r="AD300" s="6"/>
    </row>
    <row r="301" spans="1:30" ht="69.95" customHeight="1">
      <c r="A301" s="34">
        <v>16</v>
      </c>
      <c r="B301" s="7">
        <v>2017</v>
      </c>
      <c r="C301" s="7" t="s">
        <v>62</v>
      </c>
      <c r="D301" s="6" t="str">
        <f>'[1]V, inciso o) (OP)'!C159</f>
        <v>DOPI-MUN-FORTA-BAN-AD-016-2017</v>
      </c>
      <c r="E301" s="10">
        <f>'[1]V, inciso o) (OP)'!V162</f>
        <v>42804</v>
      </c>
      <c r="F301" s="6" t="str">
        <f>'[1]V, inciso o) (OP)'!AA159</f>
        <v>Construcción y rehabilitación de guarniciones, banquetas, obra complementaria en camellones en diferentes zonas del municipio de Zapopan, Jalisco, frente 1.</v>
      </c>
      <c r="G301" s="6" t="s">
        <v>3322</v>
      </c>
      <c r="H301" s="39">
        <v>1415754.87</v>
      </c>
      <c r="I301" s="20" t="s">
        <v>2532</v>
      </c>
      <c r="J301" s="6" t="str">
        <f>'[1]V, inciso o) (OP)'!M159</f>
        <v>REGINO</v>
      </c>
      <c r="K301" s="7" t="str">
        <f>'[1]V, inciso o) (OP)'!N159</f>
        <v>RUIZ DEL CAMPO</v>
      </c>
      <c r="L301" s="7" t="str">
        <f>'[1]V, inciso o) (OP)'!O159</f>
        <v>MEDINA</v>
      </c>
      <c r="M301" s="6" t="s">
        <v>3032</v>
      </c>
      <c r="N301" s="7" t="str">
        <f>'[1]V, inciso o) (OP)'!Q159</f>
        <v>RUMR771116UA8</v>
      </c>
      <c r="O301" s="11">
        <f t="shared" si="8"/>
        <v>1415754.87</v>
      </c>
      <c r="P301" s="11">
        <v>1415754.85</v>
      </c>
      <c r="Q301" s="7" t="s">
        <v>708</v>
      </c>
      <c r="R301" s="11">
        <f>O301/1136</f>
        <v>1246.2630897887325</v>
      </c>
      <c r="S301" s="7" t="s">
        <v>41</v>
      </c>
      <c r="T301" s="12">
        <v>1465</v>
      </c>
      <c r="U301" s="13" t="s">
        <v>42</v>
      </c>
      <c r="V301" s="43" t="s">
        <v>43</v>
      </c>
      <c r="W301" s="10">
        <f>'[1]V, inciso o) (OP)'!AD159</f>
        <v>42814</v>
      </c>
      <c r="X301" s="10">
        <f>'[1]V, inciso o) (OP)'!AE159</f>
        <v>42916</v>
      </c>
      <c r="Y301" s="7" t="s">
        <v>709</v>
      </c>
      <c r="Z301" s="7" t="s">
        <v>572</v>
      </c>
      <c r="AA301" s="7" t="s">
        <v>448</v>
      </c>
      <c r="AB301" s="21" t="s">
        <v>2583</v>
      </c>
      <c r="AC301" s="6" t="s">
        <v>2438</v>
      </c>
      <c r="AD301" s="6"/>
    </row>
    <row r="302" spans="1:30" ht="69.95" customHeight="1">
      <c r="A302" s="34">
        <v>17</v>
      </c>
      <c r="B302" s="7">
        <v>2017</v>
      </c>
      <c r="C302" s="7" t="s">
        <v>62</v>
      </c>
      <c r="D302" s="6" t="str">
        <f>'[1]V, inciso o) (OP)'!C160</f>
        <v>DOPI-MUN-FORTA-BAN-AD-017-2017</v>
      </c>
      <c r="E302" s="10">
        <f>'[1]V, inciso o) (OP)'!V163</f>
        <v>42804</v>
      </c>
      <c r="F302" s="6" t="str">
        <f>'[1]V, inciso o) (OP)'!AA160</f>
        <v xml:space="preserve">Peatonalización, construcción de banquetas, sustitución de guarniciones, bolardos, primera etapa en la colonia Constitución, municipio de Zapopan, Jalisco.  </v>
      </c>
      <c r="G302" s="6" t="s">
        <v>3322</v>
      </c>
      <c r="H302" s="39">
        <v>1358967.17</v>
      </c>
      <c r="I302" s="6" t="s">
        <v>468</v>
      </c>
      <c r="J302" s="6" t="str">
        <f>'[1]V, inciso o) (OP)'!M160</f>
        <v>SERGIO CESAR</v>
      </c>
      <c r="K302" s="7" t="str">
        <f>'[1]V, inciso o) (OP)'!N160</f>
        <v>DIAZ</v>
      </c>
      <c r="L302" s="7" t="str">
        <f>'[1]V, inciso o) (OP)'!O160</f>
        <v>QUIROZ</v>
      </c>
      <c r="M302" s="6" t="s">
        <v>3110</v>
      </c>
      <c r="N302" s="7" t="str">
        <f>'[1]V, inciso o) (OP)'!Q160</f>
        <v>TRA750528286</v>
      </c>
      <c r="O302" s="11">
        <f t="shared" si="8"/>
        <v>1358967.17</v>
      </c>
      <c r="P302" s="11">
        <f>O302</f>
        <v>1358967.17</v>
      </c>
      <c r="Q302" s="7" t="s">
        <v>710</v>
      </c>
      <c r="R302" s="11">
        <f>O302/5662</f>
        <v>240.01539561992229</v>
      </c>
      <c r="S302" s="7" t="s">
        <v>41</v>
      </c>
      <c r="T302" s="12">
        <v>12983</v>
      </c>
      <c r="U302" s="13" t="s">
        <v>42</v>
      </c>
      <c r="V302" s="7" t="s">
        <v>373</v>
      </c>
      <c r="W302" s="10">
        <f>'[1]V, inciso o) (OP)'!AD160</f>
        <v>42814</v>
      </c>
      <c r="X302" s="10">
        <f>'[1]V, inciso o) (OP)'!AE160</f>
        <v>42855</v>
      </c>
      <c r="Y302" s="7" t="s">
        <v>711</v>
      </c>
      <c r="Z302" s="7" t="s">
        <v>412</v>
      </c>
      <c r="AA302" s="7" t="s">
        <v>413</v>
      </c>
      <c r="AB302" s="21" t="s">
        <v>2584</v>
      </c>
      <c r="AC302" s="6" t="s">
        <v>2438</v>
      </c>
      <c r="AD302" s="6"/>
    </row>
    <row r="303" spans="1:30" ht="69.95" customHeight="1">
      <c r="A303" s="34">
        <v>18</v>
      </c>
      <c r="B303" s="7">
        <v>2017</v>
      </c>
      <c r="C303" s="7" t="s">
        <v>62</v>
      </c>
      <c r="D303" s="6" t="str">
        <f>'[1]V, inciso o) (OP)'!C161</f>
        <v>DOPI-MUN-FORTA-BAN-AD-018-2017</v>
      </c>
      <c r="E303" s="10">
        <f>'[1]V, inciso o) (OP)'!V164</f>
        <v>42804</v>
      </c>
      <c r="F303" s="32" t="str">
        <f>'[1]V, inciso o) (OP)'!AA161</f>
        <v>Peatonalización (banquetas y obras de accesibilidad) del área de influencia de las escuelas: Primaria Vicente Guerrero clave 14DPR3223C, Primaria Urbana Juan Escutia 1130 clave 14EPR0783R, Primaria José María Morelos y Pavón clave 14DPR3388L, y Primaria Gustavo Díaz Ordaz clave 14EPR1473U, municipio de Zapopan, Jalisco.</v>
      </c>
      <c r="G303" s="6" t="s">
        <v>3322</v>
      </c>
      <c r="H303" s="39">
        <v>1631067.7799999998</v>
      </c>
      <c r="I303" s="6" t="s">
        <v>2525</v>
      </c>
      <c r="J303" s="6" t="str">
        <f>'[1]V, inciso o) (OP)'!M161</f>
        <v>GUSTAVO</v>
      </c>
      <c r="K303" s="7" t="str">
        <f>'[1]V, inciso o) (OP)'!N161</f>
        <v>DURAN</v>
      </c>
      <c r="L303" s="7" t="str">
        <f>'[1]V, inciso o) (OP)'!O161</f>
        <v>JIMENEZ</v>
      </c>
      <c r="M303" s="6" t="s">
        <v>3111</v>
      </c>
      <c r="N303" s="7" t="str">
        <f>'[1]V, inciso o) (OP)'!Q161</f>
        <v>DJA9405184G7</v>
      </c>
      <c r="O303" s="11">
        <f t="shared" si="8"/>
        <v>1631067.7799999998</v>
      </c>
      <c r="P303" s="11">
        <v>1587500.38</v>
      </c>
      <c r="Q303" s="7" t="s">
        <v>712</v>
      </c>
      <c r="R303" s="11">
        <f>O303/6946</f>
        <v>234.82116038007484</v>
      </c>
      <c r="S303" s="7" t="s">
        <v>41</v>
      </c>
      <c r="T303" s="12">
        <v>1315</v>
      </c>
      <c r="U303" s="13" t="s">
        <v>42</v>
      </c>
      <c r="V303" s="43" t="s">
        <v>43</v>
      </c>
      <c r="W303" s="10">
        <f>'[1]V, inciso o) (OP)'!AD161</f>
        <v>42814</v>
      </c>
      <c r="X303" s="10">
        <f>'[1]V, inciso o) (OP)'!AE161</f>
        <v>42916</v>
      </c>
      <c r="Y303" s="7" t="s">
        <v>429</v>
      </c>
      <c r="Z303" s="7" t="s">
        <v>72</v>
      </c>
      <c r="AA303" s="7" t="s">
        <v>73</v>
      </c>
      <c r="AB303" s="21" t="s">
        <v>2585</v>
      </c>
      <c r="AC303" s="6" t="s">
        <v>2438</v>
      </c>
      <c r="AD303" s="6"/>
    </row>
    <row r="304" spans="1:30" ht="69.95" customHeight="1">
      <c r="A304" s="34">
        <v>19</v>
      </c>
      <c r="B304" s="7">
        <v>2017</v>
      </c>
      <c r="C304" s="7" t="s">
        <v>62</v>
      </c>
      <c r="D304" s="6" t="str">
        <f>'[1]V, inciso o) (OP)'!C162</f>
        <v>DOPI-MUN-FORTA-DES-AD-019-2017</v>
      </c>
      <c r="E304" s="10">
        <f>'[1]V, inciso o) (OP)'!V165</f>
        <v>42804</v>
      </c>
      <c r="F304" s="6" t="str">
        <f>'[1]V, inciso o) (OP)'!AA162</f>
        <v>Desazolve, limpieza, rectificación y obras de protección de cauce y canal del Arroyo La Culebra, en Villas Universidad, Royal Country y Puerta Plata, municipio de Zapopan, Jalisco.</v>
      </c>
      <c r="G304" s="6" t="s">
        <v>3322</v>
      </c>
      <c r="H304" s="39">
        <v>1515350.23</v>
      </c>
      <c r="I304" s="6" t="s">
        <v>713</v>
      </c>
      <c r="J304" s="6" t="str">
        <f>'[1]V, inciso o) (OP)'!M162</f>
        <v>CLARISSA GABRIELA</v>
      </c>
      <c r="K304" s="7" t="str">
        <f>'[1]V, inciso o) (OP)'!N162</f>
        <v>VALDEZ</v>
      </c>
      <c r="L304" s="7" t="str">
        <f>'[1]V, inciso o) (OP)'!O162</f>
        <v>MANJARREZ</v>
      </c>
      <c r="M304" s="6" t="s">
        <v>3112</v>
      </c>
      <c r="N304" s="7" t="str">
        <f>'[1]V, inciso o) (OP)'!Q162</f>
        <v>TGE101215JI6</v>
      </c>
      <c r="O304" s="11">
        <f t="shared" si="8"/>
        <v>1515350.23</v>
      </c>
      <c r="P304" s="11">
        <v>1515349.77</v>
      </c>
      <c r="Q304" s="7" t="s">
        <v>714</v>
      </c>
      <c r="R304" s="11">
        <f>O304/2162</f>
        <v>700.9020490286772</v>
      </c>
      <c r="S304" s="7" t="s">
        <v>41</v>
      </c>
      <c r="T304" s="12">
        <v>4048</v>
      </c>
      <c r="U304" s="13" t="s">
        <v>42</v>
      </c>
      <c r="V304" s="7" t="s">
        <v>43</v>
      </c>
      <c r="W304" s="10">
        <f>'[1]V, inciso o) (OP)'!AD162</f>
        <v>42807</v>
      </c>
      <c r="X304" s="10">
        <f>'[1]V, inciso o) (OP)'!AE162</f>
        <v>42870</v>
      </c>
      <c r="Y304" s="7" t="s">
        <v>691</v>
      </c>
      <c r="Z304" s="7" t="s">
        <v>715</v>
      </c>
      <c r="AA304" s="7" t="s">
        <v>311</v>
      </c>
      <c r="AB304" s="21" t="s">
        <v>2586</v>
      </c>
      <c r="AC304" s="6" t="s">
        <v>2438</v>
      </c>
      <c r="AD304" s="6"/>
    </row>
    <row r="305" spans="1:30" ht="69.95" customHeight="1">
      <c r="A305" s="34">
        <v>20</v>
      </c>
      <c r="B305" s="7">
        <v>2017</v>
      </c>
      <c r="C305" s="7" t="s">
        <v>62</v>
      </c>
      <c r="D305" s="6" t="str">
        <f>'[1]V, inciso o) (OP)'!C163</f>
        <v>DOPI-MUN-FORTA-DES-AD-020-2017</v>
      </c>
      <c r="E305" s="10">
        <f>'[1]V, inciso o) (OP)'!V166</f>
        <v>42804</v>
      </c>
      <c r="F305" s="6" t="str">
        <f>'[1]V, inciso o) (OP)'!AA163</f>
        <v>Desazolve, limpieza, rectificación y obras de protección de cauce y canal del Arroyos El Húmedo y El caracol y el canal Las Agujas Poniente, municipio de Zapopan, Jalisco.</v>
      </c>
      <c r="G305" s="6" t="s">
        <v>3322</v>
      </c>
      <c r="H305" s="39">
        <v>1405369.66</v>
      </c>
      <c r="I305" s="6" t="s">
        <v>716</v>
      </c>
      <c r="J305" s="6" t="str">
        <f>'[1]V, inciso o) (OP)'!M163</f>
        <v>JOSE ANTONIO</v>
      </c>
      <c r="K305" s="7" t="str">
        <f>'[1]V, inciso o) (OP)'!N163</f>
        <v>ALVAREZ</v>
      </c>
      <c r="L305" s="7" t="str">
        <f>'[1]V, inciso o) (OP)'!O163</f>
        <v>GARCIA</v>
      </c>
      <c r="M305" s="6" t="s">
        <v>3113</v>
      </c>
      <c r="N305" s="7" t="str">
        <f>'[1]V, inciso o) (OP)'!Q163</f>
        <v>UMN160125869</v>
      </c>
      <c r="O305" s="11">
        <f t="shared" si="8"/>
        <v>1405369.66</v>
      </c>
      <c r="P305" s="11">
        <v>1356619.98</v>
      </c>
      <c r="Q305" s="7" t="s">
        <v>717</v>
      </c>
      <c r="R305" s="11">
        <f>O305/3645</f>
        <v>385.56094924554179</v>
      </c>
      <c r="S305" s="7" t="s">
        <v>41</v>
      </c>
      <c r="T305" s="12">
        <v>11771</v>
      </c>
      <c r="U305" s="13" t="s">
        <v>42</v>
      </c>
      <c r="V305" s="7" t="s">
        <v>43</v>
      </c>
      <c r="W305" s="10">
        <f>'[1]V, inciso o) (OP)'!AD163</f>
        <v>42807</v>
      </c>
      <c r="X305" s="10">
        <f>'[1]V, inciso o) (OP)'!AE163</f>
        <v>42870</v>
      </c>
      <c r="Y305" s="7" t="s">
        <v>718</v>
      </c>
      <c r="Z305" s="7" t="s">
        <v>332</v>
      </c>
      <c r="AA305" s="7" t="s">
        <v>116</v>
      </c>
      <c r="AB305" s="21" t="s">
        <v>2587</v>
      </c>
      <c r="AC305" s="6" t="s">
        <v>2438</v>
      </c>
      <c r="AD305" s="6"/>
    </row>
    <row r="306" spans="1:30" ht="69.95" customHeight="1">
      <c r="A306" s="34">
        <v>21</v>
      </c>
      <c r="B306" s="7">
        <v>2017</v>
      </c>
      <c r="C306" s="7" t="s">
        <v>62</v>
      </c>
      <c r="D306" s="6" t="str">
        <f>'[1]V, inciso o) (OP)'!C164</f>
        <v>DOPI-MUN-FORTA-DES-AD-021-2017</v>
      </c>
      <c r="E306" s="10">
        <f>'[1]V, inciso o) (OP)'!V167</f>
        <v>42804</v>
      </c>
      <c r="F306" s="6" t="str">
        <f>'[1]V, inciso o) (OP)'!AA164</f>
        <v>Desazolve, limpieza, rectificación, obras de protección y adecuaciones pluviales en el canal Las Agujas Oriente, municipio de Zapopan, Jalisco.</v>
      </c>
      <c r="G306" s="6" t="s">
        <v>3322</v>
      </c>
      <c r="H306" s="39">
        <v>1452877.98</v>
      </c>
      <c r="I306" s="6" t="s">
        <v>716</v>
      </c>
      <c r="J306" s="6" t="str">
        <f>'[1]V, inciso o) (OP)'!M164</f>
        <v>JOSE ANTONIO</v>
      </c>
      <c r="K306" s="7" t="str">
        <f>'[1]V, inciso o) (OP)'!N164</f>
        <v>ALVAREZ</v>
      </c>
      <c r="L306" s="7" t="str">
        <f>'[1]V, inciso o) (OP)'!O164</f>
        <v>ZULOAGA</v>
      </c>
      <c r="M306" s="6" t="s">
        <v>3114</v>
      </c>
      <c r="N306" s="7" t="str">
        <f>'[1]V, inciso o) (OP)'!Q164</f>
        <v>GDA150928286</v>
      </c>
      <c r="O306" s="11">
        <f t="shared" si="8"/>
        <v>1452877.98</v>
      </c>
      <c r="P306" s="11">
        <v>1358930.0499999998</v>
      </c>
      <c r="Q306" s="7" t="s">
        <v>719</v>
      </c>
      <c r="R306" s="11">
        <f>O306/260</f>
        <v>5587.9922307692304</v>
      </c>
      <c r="S306" s="7" t="s">
        <v>41</v>
      </c>
      <c r="T306" s="12">
        <v>5836</v>
      </c>
      <c r="U306" s="13" t="s">
        <v>42</v>
      </c>
      <c r="V306" s="7" t="s">
        <v>43</v>
      </c>
      <c r="W306" s="10">
        <f>'[1]V, inciso o) (OP)'!AD164</f>
        <v>42807</v>
      </c>
      <c r="X306" s="10">
        <f>'[1]V, inciso o) (OP)'!AE164</f>
        <v>42870</v>
      </c>
      <c r="Y306" s="7" t="s">
        <v>718</v>
      </c>
      <c r="Z306" s="7" t="s">
        <v>332</v>
      </c>
      <c r="AA306" s="7" t="s">
        <v>116</v>
      </c>
      <c r="AB306" s="21" t="s">
        <v>1526</v>
      </c>
      <c r="AC306" s="6" t="s">
        <v>2438</v>
      </c>
      <c r="AD306" s="6"/>
    </row>
    <row r="307" spans="1:30" ht="69.95" customHeight="1">
      <c r="A307" s="34">
        <v>22</v>
      </c>
      <c r="B307" s="7">
        <v>2017</v>
      </c>
      <c r="C307" s="7" t="s">
        <v>62</v>
      </c>
      <c r="D307" s="6" t="str">
        <f>'[1]V, inciso o) (OP)'!C165</f>
        <v>DOPI-MUN-FORTA-DES-AD-022-2017</v>
      </c>
      <c r="E307" s="10">
        <f>'[1]V, inciso o) (OP)'!V168</f>
        <v>42804</v>
      </c>
      <c r="F307" s="6" t="str">
        <f>'[1]V, inciso o) (OP)'!AA165</f>
        <v>Desazolve, limpieza, rectificación y obras de protección en los Arroyos Seco y El Garabato, municipio de Zapopan, Jalisco.</v>
      </c>
      <c r="G307" s="6" t="s">
        <v>3322</v>
      </c>
      <c r="H307" s="39">
        <v>1383674.16</v>
      </c>
      <c r="I307" s="6" t="s">
        <v>720</v>
      </c>
      <c r="J307" s="6" t="str">
        <f>'[1]V, inciso o) (OP)'!M165</f>
        <v xml:space="preserve">GUILLERMO ALBERTO </v>
      </c>
      <c r="K307" s="7" t="str">
        <f>'[1]V, inciso o) (OP)'!N165</f>
        <v>RODRIGUEZ</v>
      </c>
      <c r="L307" s="7" t="str">
        <f>'[1]V, inciso o) (OP)'!O165</f>
        <v>ALLENDE</v>
      </c>
      <c r="M307" s="6" t="s">
        <v>2981</v>
      </c>
      <c r="N307" s="7" t="str">
        <f>'[1]V, inciso o) (OP)'!Q165</f>
        <v>GCM121112J86</v>
      </c>
      <c r="O307" s="11">
        <f t="shared" si="8"/>
        <v>1383674.16</v>
      </c>
      <c r="P307" s="11">
        <v>1040623.55</v>
      </c>
      <c r="Q307" s="7" t="s">
        <v>721</v>
      </c>
      <c r="R307" s="11">
        <f>O307/4523</f>
        <v>305.9195578156091</v>
      </c>
      <c r="S307" s="7" t="s">
        <v>41</v>
      </c>
      <c r="T307" s="12">
        <v>13284</v>
      </c>
      <c r="U307" s="13" t="s">
        <v>42</v>
      </c>
      <c r="V307" s="7" t="s">
        <v>43</v>
      </c>
      <c r="W307" s="10">
        <f>'[1]V, inciso o) (OP)'!AD165</f>
        <v>42807</v>
      </c>
      <c r="X307" s="10">
        <f>'[1]V, inciso o) (OP)'!AE165</f>
        <v>42870</v>
      </c>
      <c r="Y307" s="7" t="s">
        <v>722</v>
      </c>
      <c r="Z307" s="7" t="s">
        <v>231</v>
      </c>
      <c r="AA307" s="7" t="s">
        <v>143</v>
      </c>
      <c r="AB307" s="21" t="s">
        <v>2293</v>
      </c>
      <c r="AC307" s="6" t="s">
        <v>2438</v>
      </c>
      <c r="AD307" s="6"/>
    </row>
    <row r="308" spans="1:30" ht="69.95" customHeight="1">
      <c r="A308" s="34">
        <v>23</v>
      </c>
      <c r="B308" s="7">
        <v>2017</v>
      </c>
      <c r="C308" s="7" t="s">
        <v>62</v>
      </c>
      <c r="D308" s="6" t="str">
        <f>'[1]V, inciso o) (OP)'!C166</f>
        <v>DOPI-MUN-FORTA-DES-AD-023-2017</v>
      </c>
      <c r="E308" s="10">
        <f>'[1]V, inciso o) (OP)'!V169</f>
        <v>42811</v>
      </c>
      <c r="F308" s="6" t="str">
        <f>'[1]V, inciso o) (OP)'!AA166</f>
        <v>Desazolve, limpieza, rectificación, obras de protección y colocación de Gaviones en el Arroyo La Campana frente 1, municipio de Zapopan, Jalisco.</v>
      </c>
      <c r="G308" s="6" t="s">
        <v>3322</v>
      </c>
      <c r="H308" s="39">
        <v>1475823.51</v>
      </c>
      <c r="I308" s="6" t="s">
        <v>723</v>
      </c>
      <c r="J308" s="6" t="str">
        <f>'[1]V, inciso o) (OP)'!M166</f>
        <v>OSCAR LUIS</v>
      </c>
      <c r="K308" s="7" t="str">
        <f>'[1]V, inciso o) (OP)'!N166</f>
        <v>CHAVEZ</v>
      </c>
      <c r="L308" s="7" t="str">
        <f>'[1]V, inciso o) (OP)'!O166</f>
        <v>GONZALEZ</v>
      </c>
      <c r="M308" s="6" t="s">
        <v>3115</v>
      </c>
      <c r="N308" s="7" t="str">
        <f>'[1]V, inciso o) (OP)'!Q166</f>
        <v>ETR070417NS8</v>
      </c>
      <c r="O308" s="11">
        <f t="shared" si="8"/>
        <v>1475823.51</v>
      </c>
      <c r="P308" s="11">
        <v>1237542.5499999998</v>
      </c>
      <c r="Q308" s="7" t="s">
        <v>697</v>
      </c>
      <c r="R308" s="11">
        <f>O308/600</f>
        <v>2459.7058499999998</v>
      </c>
      <c r="S308" s="7" t="s">
        <v>41</v>
      </c>
      <c r="T308" s="12">
        <v>2093</v>
      </c>
      <c r="U308" s="13" t="s">
        <v>42</v>
      </c>
      <c r="V308" s="7" t="s">
        <v>43</v>
      </c>
      <c r="W308" s="10">
        <f>'[1]V, inciso o) (OP)'!AD166</f>
        <v>42807</v>
      </c>
      <c r="X308" s="10">
        <f>'[1]V, inciso o) (OP)'!AE166</f>
        <v>42870</v>
      </c>
      <c r="Y308" s="7" t="s">
        <v>552</v>
      </c>
      <c r="Z308" s="7" t="s">
        <v>67</v>
      </c>
      <c r="AA308" s="7" t="s">
        <v>192</v>
      </c>
      <c r="AB308" s="21" t="s">
        <v>2588</v>
      </c>
      <c r="AC308" s="6" t="s">
        <v>2438</v>
      </c>
      <c r="AD308" s="6"/>
    </row>
    <row r="309" spans="1:30" ht="69.95" customHeight="1">
      <c r="A309" s="34">
        <v>24</v>
      </c>
      <c r="B309" s="7">
        <v>2017</v>
      </c>
      <c r="C309" s="7" t="s">
        <v>62</v>
      </c>
      <c r="D309" s="6" t="str">
        <f>'[1]V, inciso o) (OP)'!C167</f>
        <v>DOPI-MUN-FORTA-OC-024-AD-2017</v>
      </c>
      <c r="E309" s="10">
        <f>'[1]V, inciso o) (OP)'!V170</f>
        <v>42811</v>
      </c>
      <c r="F309" s="6" t="str">
        <f>'[1]V, inciso o) (OP)'!AA167</f>
        <v>Obras emergentes de reparación y reconstrucción de infraestructura urbana pluvial y sanitaria, en el municipio de Zapopan, frente 1.</v>
      </c>
      <c r="G309" s="6" t="s">
        <v>3322</v>
      </c>
      <c r="H309" s="39">
        <v>1350254.48</v>
      </c>
      <c r="I309" s="20" t="s">
        <v>2532</v>
      </c>
      <c r="J309" s="6" t="str">
        <f>'[1]V, inciso o) (OP)'!M167</f>
        <v>ELBA</v>
      </c>
      <c r="K309" s="7" t="str">
        <f>'[1]V, inciso o) (OP)'!N167</f>
        <v xml:space="preserve">GONZÁLEZ </v>
      </c>
      <c r="L309" s="7" t="str">
        <f>'[1]V, inciso o) (OP)'!O167</f>
        <v>AGUIRRE</v>
      </c>
      <c r="M309" s="6" t="s">
        <v>3116</v>
      </c>
      <c r="N309" s="7" t="str">
        <f>'[1]V, inciso o) (OP)'!Q167</f>
        <v>GUR120612P22</v>
      </c>
      <c r="O309" s="11">
        <f t="shared" si="8"/>
        <v>1350254.48</v>
      </c>
      <c r="P309" s="11">
        <v>749558.48</v>
      </c>
      <c r="Q309" s="7" t="s">
        <v>724</v>
      </c>
      <c r="R309" s="11">
        <f>O309/643</f>
        <v>2099.9292068429236</v>
      </c>
      <c r="S309" s="7" t="s">
        <v>41</v>
      </c>
      <c r="T309" s="12">
        <v>4588</v>
      </c>
      <c r="U309" s="13" t="s">
        <v>42</v>
      </c>
      <c r="V309" s="7" t="s">
        <v>43</v>
      </c>
      <c r="W309" s="10">
        <f>'[1]V, inciso o) (OP)'!AD167</f>
        <v>42807</v>
      </c>
      <c r="X309" s="10">
        <f>'[1]V, inciso o) (OP)'!AE167</f>
        <v>42931</v>
      </c>
      <c r="Y309" s="7" t="s">
        <v>703</v>
      </c>
      <c r="Z309" s="7" t="s">
        <v>604</v>
      </c>
      <c r="AA309" s="7" t="s">
        <v>605</v>
      </c>
      <c r="AB309" s="21" t="s">
        <v>2589</v>
      </c>
      <c r="AC309" s="6" t="s">
        <v>2438</v>
      </c>
      <c r="AD309" s="6"/>
    </row>
    <row r="310" spans="1:30" ht="69.95" customHeight="1">
      <c r="A310" s="34">
        <v>25</v>
      </c>
      <c r="B310" s="7">
        <v>2017</v>
      </c>
      <c r="C310" s="7" t="s">
        <v>62</v>
      </c>
      <c r="D310" s="6" t="str">
        <f>'[1]V, inciso o) (OP)'!C168</f>
        <v>DOPI-MUN-FORTA-OC-AD-025-2017</v>
      </c>
      <c r="E310" s="10">
        <f>'[1]V, inciso o) (OP)'!V171</f>
        <v>42811</v>
      </c>
      <c r="F310" s="6" t="str">
        <f>'[1]V, inciso o) (OP)'!AA168</f>
        <v>Construcción de cárcamos para el manejo de filtraciones de lixiviados en el relleno sanitario Picachos, municipio de Zapopan, Jalisco.</v>
      </c>
      <c r="G310" s="6" t="s">
        <v>3322</v>
      </c>
      <c r="H310" s="39">
        <v>1510624.8</v>
      </c>
      <c r="I310" s="6" t="s">
        <v>725</v>
      </c>
      <c r="J310" s="6" t="str">
        <f>'[1]V, inciso o) (OP)'!M168</f>
        <v>GUSTAVO ALEJANDRO</v>
      </c>
      <c r="K310" s="7" t="str">
        <f>'[1]V, inciso o) (OP)'!N168</f>
        <v>LEDEZMA</v>
      </c>
      <c r="L310" s="7" t="str">
        <f>'[1]V, inciso o) (OP)'!O168</f>
        <v xml:space="preserve"> CERVANTES</v>
      </c>
      <c r="M310" s="6" t="s">
        <v>3117</v>
      </c>
      <c r="N310" s="7" t="str">
        <f>'[1]V, inciso o) (OP)'!Q168</f>
        <v>EPR131016I71</v>
      </c>
      <c r="O310" s="11">
        <f t="shared" si="8"/>
        <v>1510624.8</v>
      </c>
      <c r="P310" s="11">
        <v>1510621.3599999999</v>
      </c>
      <c r="Q310" s="7" t="s">
        <v>726</v>
      </c>
      <c r="R310" s="11">
        <f>O310/3</f>
        <v>503541.60000000003</v>
      </c>
      <c r="S310" s="7" t="s">
        <v>41</v>
      </c>
      <c r="T310" s="12">
        <v>1332272</v>
      </c>
      <c r="U310" s="13" t="s">
        <v>42</v>
      </c>
      <c r="V310" s="7" t="s">
        <v>43</v>
      </c>
      <c r="W310" s="10">
        <f>'[1]V, inciso o) (OP)'!AD168</f>
        <v>42807</v>
      </c>
      <c r="X310" s="10">
        <f>'[1]V, inciso o) (OP)'!AE168</f>
        <v>42870</v>
      </c>
      <c r="Y310" s="7" t="s">
        <v>460</v>
      </c>
      <c r="Z310" s="7" t="s">
        <v>302</v>
      </c>
      <c r="AA310" s="7" t="s">
        <v>303</v>
      </c>
      <c r="AB310" s="21" t="s">
        <v>2590</v>
      </c>
      <c r="AC310" s="6" t="s">
        <v>2438</v>
      </c>
      <c r="AD310" s="6"/>
    </row>
    <row r="311" spans="1:30" ht="69.95" customHeight="1">
      <c r="A311" s="34">
        <v>26</v>
      </c>
      <c r="B311" s="7">
        <v>2017</v>
      </c>
      <c r="C311" s="7" t="s">
        <v>62</v>
      </c>
      <c r="D311" s="6" t="str">
        <f>'[1]V, inciso o) (OP)'!C169</f>
        <v>DOPI-MUN-FORTA-OC-AD-026-2017</v>
      </c>
      <c r="E311" s="10">
        <f>'[1]V, inciso o) (OP)'!V172</f>
        <v>42797</v>
      </c>
      <c r="F311" s="6" t="str">
        <f>'[1]V, inciso o) (OP)'!AA169</f>
        <v>Trabajos de rehabilitación (manga con curado ultravioleta) de colector sanitario López Mateos - Pinar de la Calma, para evitar socavaciones, en el tramo de Av. Galileo Galilei a La Glorieta Las Fuentes, municipio de Zapopan, Jalisco.</v>
      </c>
      <c r="G311" s="6" t="s">
        <v>3322</v>
      </c>
      <c r="H311" s="39">
        <v>917334.92</v>
      </c>
      <c r="I311" s="6" t="s">
        <v>727</v>
      </c>
      <c r="J311" s="6" t="str">
        <f>'[1]V, inciso o) (OP)'!M169</f>
        <v>MARÍA RAQUEL</v>
      </c>
      <c r="K311" s="7" t="str">
        <f>'[1]V, inciso o) (OP)'!N169</f>
        <v>ROMO</v>
      </c>
      <c r="L311" s="7" t="str">
        <f>'[1]V, inciso o) (OP)'!O169</f>
        <v>LÓPEZ</v>
      </c>
      <c r="M311" s="6" t="s">
        <v>3118</v>
      </c>
      <c r="N311" s="7" t="str">
        <f>'[1]V, inciso o) (OP)'!Q169</f>
        <v>BCR080530NPA</v>
      </c>
      <c r="O311" s="11">
        <f t="shared" si="8"/>
        <v>917334.92</v>
      </c>
      <c r="P311" s="11">
        <v>917334.92999999993</v>
      </c>
      <c r="Q311" s="7" t="s">
        <v>728</v>
      </c>
      <c r="R311" s="11">
        <f>O311/93</f>
        <v>9863.8163440860226</v>
      </c>
      <c r="S311" s="7" t="s">
        <v>41</v>
      </c>
      <c r="T311" s="12">
        <v>6285</v>
      </c>
      <c r="U311" s="13" t="s">
        <v>42</v>
      </c>
      <c r="V311" s="7" t="s">
        <v>43</v>
      </c>
      <c r="W311" s="10">
        <f>'[1]V, inciso o) (OP)'!AD169</f>
        <v>42814</v>
      </c>
      <c r="X311" s="10">
        <f>'[1]V, inciso o) (OP)'!AE169</f>
        <v>42885</v>
      </c>
      <c r="Y311" s="7" t="s">
        <v>729</v>
      </c>
      <c r="Z311" s="7" t="s">
        <v>730</v>
      </c>
      <c r="AA311" s="7" t="s">
        <v>731</v>
      </c>
      <c r="AB311" s="21" t="s">
        <v>2591</v>
      </c>
      <c r="AC311" s="6" t="s">
        <v>2438</v>
      </c>
      <c r="AD311" s="6"/>
    </row>
    <row r="312" spans="1:30" ht="69.95" customHeight="1">
      <c r="A312" s="34">
        <v>27</v>
      </c>
      <c r="B312" s="7">
        <v>2017</v>
      </c>
      <c r="C312" s="7" t="s">
        <v>62</v>
      </c>
      <c r="D312" s="6" t="str">
        <f>'[1]V, inciso o) (OP)'!C170</f>
        <v>DOPI-MUN-FORTA-IE-AD-027-2017</v>
      </c>
      <c r="E312" s="10">
        <f>'[1]V, inciso o) (OP)'!V173</f>
        <v>42811</v>
      </c>
      <c r="F312" s="6" t="str">
        <f>'[1]V, inciso o) (OP)'!AA170</f>
        <v>Suministro y colocación de estructuras de protección de rayos ultravioleta en los planteles educativos: Primaria Diego Rivera (14DPR3789G) y Escuela Alfredo V. Bonfil (14EPR1115G), municipio de Zapopan, Jalisco.</v>
      </c>
      <c r="G312" s="6" t="s">
        <v>3322</v>
      </c>
      <c r="H312" s="39">
        <v>1357288.84</v>
      </c>
      <c r="I312" s="6" t="s">
        <v>732</v>
      </c>
      <c r="J312" s="6" t="str">
        <f>'[1]V, inciso o) (OP)'!M170</f>
        <v xml:space="preserve">ALEJANDRO LUIS </v>
      </c>
      <c r="K312" s="7" t="str">
        <f>'[1]V, inciso o) (OP)'!N170</f>
        <v xml:space="preserve">VAIDOVITS </v>
      </c>
      <c r="L312" s="7" t="str">
        <f>'[1]V, inciso o) (OP)'!O170</f>
        <v xml:space="preserve"> SCHNURER</v>
      </c>
      <c r="M312" s="6" t="s">
        <v>3119</v>
      </c>
      <c r="N312" s="7" t="str">
        <f>'[1]V, inciso o) (OP)'!Q170</f>
        <v>PME930817EV7</v>
      </c>
      <c r="O312" s="11">
        <f t="shared" si="8"/>
        <v>1357288.84</v>
      </c>
      <c r="P312" s="11">
        <v>1292426.1399999999</v>
      </c>
      <c r="Q312" s="7" t="s">
        <v>733</v>
      </c>
      <c r="R312" s="11">
        <f>O312/963</f>
        <v>1409.4380477673938</v>
      </c>
      <c r="S312" s="7" t="s">
        <v>41</v>
      </c>
      <c r="T312" s="12">
        <v>759</v>
      </c>
      <c r="U312" s="13" t="s">
        <v>42</v>
      </c>
      <c r="V312" s="43" t="s">
        <v>43</v>
      </c>
      <c r="W312" s="10">
        <f>'[1]V, inciso o) (OP)'!AD170</f>
        <v>42814</v>
      </c>
      <c r="X312" s="10">
        <f>'[1]V, inciso o) (OP)'!AE170</f>
        <v>42901</v>
      </c>
      <c r="Y312" s="7" t="s">
        <v>693</v>
      </c>
      <c r="Z312" s="7" t="s">
        <v>72</v>
      </c>
      <c r="AA312" s="7" t="s">
        <v>73</v>
      </c>
      <c r="AB312" s="21" t="s">
        <v>2592</v>
      </c>
      <c r="AC312" s="6" t="s">
        <v>2438</v>
      </c>
      <c r="AD312" s="6"/>
    </row>
    <row r="313" spans="1:30" ht="69.95" customHeight="1">
      <c r="A313" s="34">
        <v>28</v>
      </c>
      <c r="B313" s="7">
        <v>2017</v>
      </c>
      <c r="C313" s="7" t="s">
        <v>62</v>
      </c>
      <c r="D313" s="6" t="str">
        <f>'[1]V, inciso o) (OP)'!C171</f>
        <v>DOPI-MUN-FORTA-IE-AD-028-2017</v>
      </c>
      <c r="E313" s="10">
        <f>'[1]V, inciso o) (OP)'!V174</f>
        <v>42811</v>
      </c>
      <c r="F313" s="6" t="s">
        <v>734</v>
      </c>
      <c r="G313" s="6" t="s">
        <v>3322</v>
      </c>
      <c r="H313" s="39">
        <v>1374368.14</v>
      </c>
      <c r="I313" s="6" t="s">
        <v>69</v>
      </c>
      <c r="J313" s="6" t="str">
        <f>'[1]V, inciso o) (OP)'!M171</f>
        <v>ARTURO RAFAEL</v>
      </c>
      <c r="K313" s="7" t="str">
        <f>'[1]V, inciso o) (OP)'!N171</f>
        <v>SALAZAR</v>
      </c>
      <c r="L313" s="7" t="str">
        <f>'[1]V, inciso o) (OP)'!O171</f>
        <v>MARTIN DEL CAMPO</v>
      </c>
      <c r="M313" s="6" t="s">
        <v>3120</v>
      </c>
      <c r="N313" s="7" t="str">
        <f>'[1]V, inciso o) (OP)'!Q171</f>
        <v>KCO030922UM6</v>
      </c>
      <c r="O313" s="11">
        <f t="shared" si="8"/>
        <v>1374368.14</v>
      </c>
      <c r="P313" s="11">
        <v>1374276.73</v>
      </c>
      <c r="Q313" s="7" t="s">
        <v>735</v>
      </c>
      <c r="R313" s="11">
        <f>O313/975</f>
        <v>1409.6083487179485</v>
      </c>
      <c r="S313" s="7" t="s">
        <v>41</v>
      </c>
      <c r="T313" s="12">
        <v>1372</v>
      </c>
      <c r="U313" s="13" t="s">
        <v>42</v>
      </c>
      <c r="V313" s="43" t="s">
        <v>43</v>
      </c>
      <c r="W313" s="10">
        <f>'[1]V, inciso o) (OP)'!AD171</f>
        <v>42814</v>
      </c>
      <c r="X313" s="10">
        <f>'[1]V, inciso o) (OP)'!AE171</f>
        <v>42901</v>
      </c>
      <c r="Y313" s="7" t="s">
        <v>693</v>
      </c>
      <c r="Z313" s="7" t="s">
        <v>72</v>
      </c>
      <c r="AA313" s="7" t="s">
        <v>73</v>
      </c>
      <c r="AB313" s="21" t="s">
        <v>2593</v>
      </c>
      <c r="AC313" s="6" t="s">
        <v>2438</v>
      </c>
      <c r="AD313" s="6"/>
    </row>
    <row r="314" spans="1:30" ht="69.95" customHeight="1">
      <c r="A314" s="34">
        <v>29</v>
      </c>
      <c r="B314" s="7">
        <v>2017</v>
      </c>
      <c r="C314" s="7" t="s">
        <v>62</v>
      </c>
      <c r="D314" s="6" t="str">
        <f>'[1]V, inciso o) (OP)'!C172</f>
        <v>DOPI-MUN-FORTA-CAL-AD-029-2017</v>
      </c>
      <c r="E314" s="10">
        <f>'[1]V, inciso o) (OP)'!V175</f>
        <v>42811</v>
      </c>
      <c r="F314" s="6" t="str">
        <f>'[1]V, inciso o) (OP)'!AA172</f>
        <v>Control de calidad de diferentes obras 2017 del municipio de Zapopan, Jalisco, etapa 1.</v>
      </c>
      <c r="G314" s="6" t="s">
        <v>3322</v>
      </c>
      <c r="H314" s="39">
        <v>975338.12</v>
      </c>
      <c r="I314" s="6" t="s">
        <v>1024</v>
      </c>
      <c r="J314" s="6" t="str">
        <f>'[1]V, inciso o) (OP)'!M172</f>
        <v>RICARDO</v>
      </c>
      <c r="K314" s="7" t="str">
        <f>'[1]V, inciso o) (OP)'!N172</f>
        <v>MEZA</v>
      </c>
      <c r="L314" s="7" t="str">
        <f>'[1]V, inciso o) (OP)'!O172</f>
        <v>PONCE</v>
      </c>
      <c r="M314" s="6" t="s">
        <v>3121</v>
      </c>
      <c r="N314" s="7" t="str">
        <f>'[1]V, inciso o) (OP)'!Q172</f>
        <v>CCM1405243C4</v>
      </c>
      <c r="O314" s="11">
        <f t="shared" si="8"/>
        <v>975338.12</v>
      </c>
      <c r="P314" s="11">
        <v>974321.3</v>
      </c>
      <c r="Q314" s="7" t="s">
        <v>120</v>
      </c>
      <c r="R314" s="11" t="s">
        <v>120</v>
      </c>
      <c r="S314" s="7" t="s">
        <v>121</v>
      </c>
      <c r="T314" s="12" t="s">
        <v>121</v>
      </c>
      <c r="U314" s="13" t="s">
        <v>42</v>
      </c>
      <c r="V314" s="43" t="s">
        <v>43</v>
      </c>
      <c r="W314" s="10">
        <f>'[1]V, inciso o) (OP)'!AD172</f>
        <v>42800</v>
      </c>
      <c r="X314" s="10">
        <f>'[1]V, inciso o) (OP)'!AE172</f>
        <v>42978</v>
      </c>
      <c r="Y314" s="7" t="s">
        <v>736</v>
      </c>
      <c r="Z314" s="7" t="s">
        <v>384</v>
      </c>
      <c r="AA314" s="7" t="s">
        <v>385</v>
      </c>
      <c r="AB314" s="21" t="s">
        <v>2594</v>
      </c>
      <c r="AC314" s="6" t="s">
        <v>2438</v>
      </c>
      <c r="AD314" s="6"/>
    </row>
    <row r="315" spans="1:30" ht="69.95" customHeight="1">
      <c r="A315" s="34">
        <v>30</v>
      </c>
      <c r="B315" s="7">
        <v>2017</v>
      </c>
      <c r="C315" s="7" t="s">
        <v>62</v>
      </c>
      <c r="D315" s="6" t="str">
        <f>'[1]V, inciso o) (OP)'!C173</f>
        <v>DOPI-MUN-RM-PAV-AD-030-2017</v>
      </c>
      <c r="E315" s="10">
        <f>'[1]V, inciso o) (OP)'!V176</f>
        <v>42811</v>
      </c>
      <c r="F315" s="32" t="str">
        <f>'[1]V, inciso o) (OP)'!AA173</f>
        <v>Reencarpetamiento de la vialidad, desbastado de la carpeta existente, nivelación de pozos de visita, cajas de válvulas, rejillas pluviales, bocas de tormenta y elementos estructurales que sobresalen de la rasante de la vialidad, calafateos, señalética horizontal, en el fraccionamiento Villas Torremolinos, municipio de Zapopan, Jalisco.</v>
      </c>
      <c r="G315" s="6" t="s">
        <v>63</v>
      </c>
      <c r="H315" s="39">
        <v>1115083.45</v>
      </c>
      <c r="I315" s="6" t="s">
        <v>737</v>
      </c>
      <c r="J315" s="6" t="str">
        <f>'[1]V, inciso o) (OP)'!M173</f>
        <v>JOSE DE JESUS</v>
      </c>
      <c r="K315" s="7" t="str">
        <f>'[1]V, inciso o) (OP)'!N173</f>
        <v xml:space="preserve">CASTILLO </v>
      </c>
      <c r="L315" s="7" t="str">
        <f>'[1]V, inciso o) (OP)'!O173</f>
        <v>CARRILLO</v>
      </c>
      <c r="M315" s="6" t="s">
        <v>3122</v>
      </c>
      <c r="N315" s="7" t="str">
        <f>'[1]V, inciso o) (OP)'!Q173</f>
        <v>MOP080610I53</v>
      </c>
      <c r="O315" s="11">
        <f t="shared" si="8"/>
        <v>1115083.45</v>
      </c>
      <c r="P315" s="11">
        <v>1106660.02</v>
      </c>
      <c r="Q315" s="7" t="s">
        <v>738</v>
      </c>
      <c r="R315" s="11">
        <f>O315/4800</f>
        <v>232.30905208333331</v>
      </c>
      <c r="S315" s="7" t="s">
        <v>41</v>
      </c>
      <c r="T315" s="12">
        <v>6694</v>
      </c>
      <c r="U315" s="13" t="s">
        <v>42</v>
      </c>
      <c r="V315" s="7" t="s">
        <v>43</v>
      </c>
      <c r="W315" s="10">
        <f>'[1]V, inciso o) (OP)'!AD173</f>
        <v>42814</v>
      </c>
      <c r="X315" s="10">
        <f>'[1]V, inciso o) (OP)'!AE173</f>
        <v>42855</v>
      </c>
      <c r="Y315" s="7" t="s">
        <v>317</v>
      </c>
      <c r="Z315" s="7" t="s">
        <v>191</v>
      </c>
      <c r="AA315" s="7" t="s">
        <v>192</v>
      </c>
      <c r="AB315" s="21" t="s">
        <v>2595</v>
      </c>
      <c r="AC315" s="6" t="s">
        <v>2438</v>
      </c>
      <c r="AD315" s="6"/>
    </row>
    <row r="316" spans="1:30" ht="69.95" customHeight="1">
      <c r="A316" s="34">
        <v>31</v>
      </c>
      <c r="B316" s="7">
        <v>2017</v>
      </c>
      <c r="C316" s="7" t="s">
        <v>62</v>
      </c>
      <c r="D316" s="6" t="str">
        <f>'[1]V, inciso o) (OP)'!C174</f>
        <v>DOPI-MUN-RM-PAV-AD-031-2017</v>
      </c>
      <c r="E316" s="10">
        <f>'[1]V, inciso o) (OP)'!V177</f>
        <v>42811</v>
      </c>
      <c r="F316" s="32" t="str">
        <f>'[1]V, inciso o) (OP)'!AA174</f>
        <v>Pavimentación, sello y bacheo en las calles Río Tuito, Río Lerma y Río Tequila en el tramo comprendido de Av. Tabachines a Av. Sierra de Tapalpa; y  calle Encinos de Av. Patria a calle Río Cihutatlán, en la colonia Loma Bonita Ejidal, municipio de Zapopan, Jalisco.</v>
      </c>
      <c r="G316" s="6" t="s">
        <v>63</v>
      </c>
      <c r="H316" s="39">
        <v>1498750.24</v>
      </c>
      <c r="I316" s="6" t="s">
        <v>739</v>
      </c>
      <c r="J316" s="6" t="str">
        <f>'[1]V, inciso o) (OP)'!M174</f>
        <v>DAVID EDUARDO</v>
      </c>
      <c r="K316" s="7" t="str">
        <f>'[1]V, inciso o) (OP)'!N174</f>
        <v>LARA</v>
      </c>
      <c r="L316" s="7" t="str">
        <f>'[1]V, inciso o) (OP)'!O174</f>
        <v>OCHOA</v>
      </c>
      <c r="M316" s="6" t="s">
        <v>3123</v>
      </c>
      <c r="N316" s="7" t="str">
        <f>'[1]V, inciso o) (OP)'!Q174</f>
        <v>CIC080626ER2</v>
      </c>
      <c r="O316" s="11">
        <f t="shared" si="8"/>
        <v>1498750.24</v>
      </c>
      <c r="P316" s="11">
        <v>1498745.96</v>
      </c>
      <c r="Q316" s="7" t="s">
        <v>740</v>
      </c>
      <c r="R316" s="11">
        <f>O316/4000</f>
        <v>374.68756000000002</v>
      </c>
      <c r="S316" s="7" t="s">
        <v>41</v>
      </c>
      <c r="T316" s="12">
        <v>10549</v>
      </c>
      <c r="U316" s="13" t="s">
        <v>42</v>
      </c>
      <c r="V316" s="7" t="s">
        <v>43</v>
      </c>
      <c r="W316" s="10">
        <f>'[1]V, inciso o) (OP)'!AD174</f>
        <v>42814</v>
      </c>
      <c r="X316" s="10">
        <f>'[1]V, inciso o) (OP)'!AE174</f>
        <v>42855</v>
      </c>
      <c r="Y316" s="7" t="s">
        <v>360</v>
      </c>
      <c r="Z316" s="7" t="s">
        <v>361</v>
      </c>
      <c r="AA316" s="7" t="s">
        <v>362</v>
      </c>
      <c r="AB316" s="21" t="s">
        <v>2596</v>
      </c>
      <c r="AC316" s="6" t="s">
        <v>2438</v>
      </c>
      <c r="AD316" s="6"/>
    </row>
    <row r="317" spans="1:30" ht="69.95" customHeight="1">
      <c r="A317" s="34">
        <v>32</v>
      </c>
      <c r="B317" s="7">
        <v>2017</v>
      </c>
      <c r="C317" s="7" t="s">
        <v>62</v>
      </c>
      <c r="D317" s="6" t="str">
        <f>'[1]V, inciso o) (OP)'!C175</f>
        <v>DOPI-MUN-RM-PAV-AD-032-2017</v>
      </c>
      <c r="E317" s="10">
        <f>'[1]V, inciso o) (OP)'!V178</f>
        <v>42811</v>
      </c>
      <c r="F317" s="6" t="str">
        <f>'[1]V, inciso o) (OP)'!AA175</f>
        <v>Pavimentación con adoquín y empedrado tradicional con material producto de recuperación en diferentes vialidades en el Municipio de Zapopan, Jalisco.</v>
      </c>
      <c r="G317" s="6" t="s">
        <v>63</v>
      </c>
      <c r="H317" s="39">
        <v>1015789.16</v>
      </c>
      <c r="I317" s="6" t="s">
        <v>1024</v>
      </c>
      <c r="J317" s="6" t="str">
        <f>'[1]V, inciso o) (OP)'!M175</f>
        <v>JOSE DE JESUS</v>
      </c>
      <c r="K317" s="7" t="str">
        <f>'[1]V, inciso o) (OP)'!N175</f>
        <v>PALAFOX</v>
      </c>
      <c r="L317" s="7" t="str">
        <f>'[1]V, inciso o) (OP)'!O175</f>
        <v>VILLEGAS</v>
      </c>
      <c r="M317" s="6" t="s">
        <v>3124</v>
      </c>
      <c r="N317" s="7" t="str">
        <f>'[1]V, inciso o) (OP)'!Q175</f>
        <v>MCO1510113H8</v>
      </c>
      <c r="O317" s="11">
        <f t="shared" si="8"/>
        <v>1015789.16</v>
      </c>
      <c r="P317" s="11">
        <v>1015789.14</v>
      </c>
      <c r="Q317" s="7" t="s">
        <v>741</v>
      </c>
      <c r="R317" s="11">
        <f>O317/4232</f>
        <v>240.02579395085067</v>
      </c>
      <c r="S317" s="7" t="s">
        <v>41</v>
      </c>
      <c r="T317" s="12">
        <v>3523</v>
      </c>
      <c r="U317" s="13" t="s">
        <v>42</v>
      </c>
      <c r="V317" s="43" t="s">
        <v>43</v>
      </c>
      <c r="W317" s="10">
        <f>'[1]V, inciso o) (OP)'!AD175</f>
        <v>42814</v>
      </c>
      <c r="X317" s="10">
        <f>'[1]V, inciso o) (OP)'!AE175</f>
        <v>42901</v>
      </c>
      <c r="Y317" s="7" t="s">
        <v>742</v>
      </c>
      <c r="Z317" s="7" t="s">
        <v>88</v>
      </c>
      <c r="AA317" s="7" t="s">
        <v>89</v>
      </c>
      <c r="AB317" s="21" t="s">
        <v>1527</v>
      </c>
      <c r="AC317" s="6" t="s">
        <v>2438</v>
      </c>
      <c r="AD317" s="6"/>
    </row>
    <row r="318" spans="1:30" ht="69.95" customHeight="1">
      <c r="A318" s="34">
        <v>33</v>
      </c>
      <c r="B318" s="7">
        <v>2017</v>
      </c>
      <c r="C318" s="7" t="s">
        <v>62</v>
      </c>
      <c r="D318" s="6" t="str">
        <f>'[1]V, inciso o) (OP)'!C176</f>
        <v>DOPI-MUN-RM-PAV-AD-033-2017</v>
      </c>
      <c r="E318" s="10">
        <f>'[1]V, inciso o) (OP)'!V179</f>
        <v>42811</v>
      </c>
      <c r="F318" s="6" t="str">
        <f>'[1]V, inciso o) (OP)'!AA176</f>
        <v>Rehabilitación de machuelos de concreto hidráulico en la Av. Juan Gil Preciado, tramo 3, municipio de Zapopan, Jalisco.</v>
      </c>
      <c r="G318" s="6" t="s">
        <v>63</v>
      </c>
      <c r="H318" s="39">
        <v>954124.73</v>
      </c>
      <c r="I318" s="6" t="s">
        <v>244</v>
      </c>
      <c r="J318" s="6" t="str">
        <f>'[1]V, inciso o) (OP)'!M176</f>
        <v>ARTURO</v>
      </c>
      <c r="K318" s="7" t="str">
        <f>'[1]V, inciso o) (OP)'!N176</f>
        <v>SARMIENTO</v>
      </c>
      <c r="L318" s="7" t="str">
        <f>'[1]V, inciso o) (OP)'!O176</f>
        <v>SANCHEZ</v>
      </c>
      <c r="M318" s="6" t="s">
        <v>3125</v>
      </c>
      <c r="N318" s="7" t="str">
        <f>'[1]V, inciso o) (OP)'!Q176</f>
        <v>CON020208696</v>
      </c>
      <c r="O318" s="11">
        <f t="shared" si="8"/>
        <v>954124.73</v>
      </c>
      <c r="P318" s="11">
        <v>954124.7300000001</v>
      </c>
      <c r="Q318" s="7" t="s">
        <v>743</v>
      </c>
      <c r="R318" s="11">
        <f>O318/3976</f>
        <v>239.97100855130785</v>
      </c>
      <c r="S318" s="7" t="s">
        <v>41</v>
      </c>
      <c r="T318" s="12">
        <v>9195</v>
      </c>
      <c r="U318" s="13" t="s">
        <v>42</v>
      </c>
      <c r="V318" s="7" t="s">
        <v>43</v>
      </c>
      <c r="W318" s="10">
        <f>'[1]V, inciso o) (OP)'!AD176</f>
        <v>42814</v>
      </c>
      <c r="X318" s="10">
        <f>'[1]V, inciso o) (OP)'!AE176</f>
        <v>42855</v>
      </c>
      <c r="Y318" s="7" t="s">
        <v>375</v>
      </c>
      <c r="Z318" s="7" t="s">
        <v>252</v>
      </c>
      <c r="AA318" s="7" t="s">
        <v>253</v>
      </c>
      <c r="AB318" s="21" t="s">
        <v>2597</v>
      </c>
      <c r="AC318" s="6" t="s">
        <v>2438</v>
      </c>
      <c r="AD318" s="6"/>
    </row>
    <row r="319" spans="1:30" ht="69.95" customHeight="1">
      <c r="A319" s="34">
        <v>34</v>
      </c>
      <c r="B319" s="7">
        <v>2017</v>
      </c>
      <c r="C319" s="7" t="s">
        <v>62</v>
      </c>
      <c r="D319" s="6" t="str">
        <f>'[1]V, inciso o) (OP)'!C177</f>
        <v>DOPI-MUN-RM-PAV-AD-034-2017</v>
      </c>
      <c r="E319" s="10">
        <f>'[1]V, inciso o) (OP)'!V180</f>
        <v>42804</v>
      </c>
      <c r="F319" s="32" t="str">
        <f>'[1]V, inciso o) (OP)'!AA177</f>
        <v>Construcción de pavimento de concreto hidráulico, banquetas, guarniciones, cajas de válvulas, pozos de visita, descargas sanitarias, señalamiento vertical y horizontal, en el crucero y área de influencia de la calle Ejido en su cruce con Av. Juan Gil Preciado, municipio de Zapopan, Jalisco.</v>
      </c>
      <c r="G319" s="6" t="s">
        <v>63</v>
      </c>
      <c r="H319" s="39">
        <v>1401225.41</v>
      </c>
      <c r="I319" s="6" t="s">
        <v>1789</v>
      </c>
      <c r="J319" s="6" t="str">
        <f>'[1]V, inciso o) (OP)'!M177</f>
        <v>ANDRES EDUARDO</v>
      </c>
      <c r="K319" s="7" t="str">
        <f>'[1]V, inciso o) (OP)'!N177</f>
        <v>ACEVES</v>
      </c>
      <c r="L319" s="7" t="str">
        <f>'[1]V, inciso o) (OP)'!O177</f>
        <v>CASTAÑEDA</v>
      </c>
      <c r="M319" s="6" t="s">
        <v>3126</v>
      </c>
      <c r="N319" s="7" t="str">
        <f>'[1]V, inciso o) (OP)'!Q177</f>
        <v>SCO100609EVA</v>
      </c>
      <c r="O319" s="11">
        <f t="shared" si="8"/>
        <v>1401225.41</v>
      </c>
      <c r="P319" s="11">
        <v>1325452.29</v>
      </c>
      <c r="Q319" s="7" t="s">
        <v>744</v>
      </c>
      <c r="R319" s="11">
        <f>O319/905</f>
        <v>1548.3153701657457</v>
      </c>
      <c r="S319" s="7" t="s">
        <v>41</v>
      </c>
      <c r="T319" s="12">
        <v>8178</v>
      </c>
      <c r="U319" s="13" t="s">
        <v>42</v>
      </c>
      <c r="V319" s="7" t="s">
        <v>43</v>
      </c>
      <c r="W319" s="10">
        <f>'[1]V, inciso o) (OP)'!AD177</f>
        <v>42814</v>
      </c>
      <c r="X319" s="10">
        <f>'[1]V, inciso o) (OP)'!AE177</f>
        <v>42855</v>
      </c>
      <c r="Y319" s="7" t="s">
        <v>718</v>
      </c>
      <c r="Z319" s="7" t="s">
        <v>332</v>
      </c>
      <c r="AA319" s="7" t="s">
        <v>116</v>
      </c>
      <c r="AB319" s="21" t="s">
        <v>2598</v>
      </c>
      <c r="AC319" s="6" t="s">
        <v>2438</v>
      </c>
      <c r="AD319" s="6"/>
    </row>
    <row r="320" spans="1:30" ht="69.95" customHeight="1">
      <c r="A320" s="34">
        <v>35</v>
      </c>
      <c r="B320" s="7">
        <v>2017</v>
      </c>
      <c r="C320" s="7" t="s">
        <v>62</v>
      </c>
      <c r="D320" s="6" t="str">
        <f>'[1]V, inciso o) (OP)'!C178</f>
        <v>DOPI-MUN-RM-PAV-AD-035-2017</v>
      </c>
      <c r="E320" s="10">
        <f>'[1]V, inciso o) (OP)'!V181</f>
        <v>42811</v>
      </c>
      <c r="F320" s="6" t="str">
        <f>'[1]V, inciso o) (OP)'!AA178</f>
        <v>Rehabilitación de la superficie de rodamiento y modificación vial del crucero de Prolongación Guadalupe y Periférico Poniente Manuel Gómez Morín, municipio de Zapopan, Jalisco.</v>
      </c>
      <c r="G320" s="6" t="s">
        <v>63</v>
      </c>
      <c r="H320" s="39">
        <v>385367</v>
      </c>
      <c r="I320" s="6" t="s">
        <v>745</v>
      </c>
      <c r="J320" s="6" t="str">
        <f>'[1]V, inciso o) (OP)'!M178</f>
        <v>JOSE DANIEL</v>
      </c>
      <c r="K320" s="7" t="str">
        <f>'[1]V, inciso o) (OP)'!N178</f>
        <v xml:space="preserve">MARTINEZ </v>
      </c>
      <c r="L320" s="7" t="str">
        <f>'[1]V, inciso o) (OP)'!O178</f>
        <v>CASILLAS</v>
      </c>
      <c r="M320" s="6" t="s">
        <v>3127</v>
      </c>
      <c r="N320" s="7" t="str">
        <f>'[1]V, inciso o) (OP)'!Q178</f>
        <v>CTE060615JX2</v>
      </c>
      <c r="O320" s="11">
        <f t="shared" si="8"/>
        <v>385367</v>
      </c>
      <c r="P320" s="11">
        <f>O320</f>
        <v>385367</v>
      </c>
      <c r="Q320" s="7" t="s">
        <v>746</v>
      </c>
      <c r="R320" s="11">
        <f>O320/250</f>
        <v>1541.4680000000001</v>
      </c>
      <c r="S320" s="7" t="s">
        <v>41</v>
      </c>
      <c r="T320" s="12">
        <v>17992</v>
      </c>
      <c r="U320" s="13" t="s">
        <v>42</v>
      </c>
      <c r="V320" s="7" t="s">
        <v>373</v>
      </c>
      <c r="W320" s="10">
        <f>'[1]V, inciso o) (OP)'!AD178</f>
        <v>42814</v>
      </c>
      <c r="X320" s="10">
        <f>'[1]V, inciso o) (OP)'!AE178</f>
        <v>42870</v>
      </c>
      <c r="Y320" s="7" t="s">
        <v>747</v>
      </c>
      <c r="Z320" s="7" t="s">
        <v>231</v>
      </c>
      <c r="AA320" s="7" t="s">
        <v>143</v>
      </c>
      <c r="AB320" s="21" t="s">
        <v>2294</v>
      </c>
      <c r="AC320" s="6" t="s">
        <v>2438</v>
      </c>
      <c r="AD320" s="6"/>
    </row>
    <row r="321" spans="1:30" ht="69.95" customHeight="1">
      <c r="A321" s="34">
        <v>36</v>
      </c>
      <c r="B321" s="7">
        <v>2017</v>
      </c>
      <c r="C321" s="7" t="s">
        <v>62</v>
      </c>
      <c r="D321" s="6" t="str">
        <f>'[1]V, inciso o) (OP)'!C179</f>
        <v>DOPI-MUN-RM-PAV-AD-036-2017</v>
      </c>
      <c r="E321" s="10">
        <f>'[1]V, inciso o) (OP)'!V182</f>
        <v>42811</v>
      </c>
      <c r="F321" s="6" t="str">
        <f>'[1]V, inciso o) (OP)'!AA179</f>
        <v>Obra complementaria en la incorporación de Av. Ecónomos a Periférico Poniente, municipio de Zapopan, Jalisco.</v>
      </c>
      <c r="G321" s="6" t="s">
        <v>63</v>
      </c>
      <c r="H321" s="39">
        <v>1301166.0900000001</v>
      </c>
      <c r="I321" s="6" t="s">
        <v>748</v>
      </c>
      <c r="J321" s="6" t="str">
        <f>'[1]V, inciso o) (OP)'!M179</f>
        <v>SERGIO CESAR</v>
      </c>
      <c r="K321" s="7" t="str">
        <f>'[1]V, inciso o) (OP)'!N179</f>
        <v>DIAZ</v>
      </c>
      <c r="L321" s="7" t="str">
        <f>'[1]V, inciso o) (OP)'!O179</f>
        <v>QUIROZ</v>
      </c>
      <c r="M321" s="6" t="s">
        <v>3128</v>
      </c>
      <c r="N321" s="7" t="str">
        <f>'[1]V, inciso o) (OP)'!Q179</f>
        <v>GUM111201IA5</v>
      </c>
      <c r="O321" s="11">
        <f t="shared" si="8"/>
        <v>1301166.0900000001</v>
      </c>
      <c r="P321" s="11">
        <v>1258980.32</v>
      </c>
      <c r="Q321" s="7" t="s">
        <v>749</v>
      </c>
      <c r="R321" s="11">
        <f>O321/950</f>
        <v>1369.6485157894738</v>
      </c>
      <c r="S321" s="7" t="s">
        <v>41</v>
      </c>
      <c r="T321" s="12">
        <v>8546</v>
      </c>
      <c r="U321" s="13" t="s">
        <v>42</v>
      </c>
      <c r="V321" s="7" t="s">
        <v>43</v>
      </c>
      <c r="W321" s="10">
        <f>'[1]V, inciso o) (OP)'!AD179</f>
        <v>42814</v>
      </c>
      <c r="X321" s="10">
        <f>'[1]V, inciso o) (OP)'!AE179</f>
        <v>42865</v>
      </c>
      <c r="Y321" s="7" t="s">
        <v>747</v>
      </c>
      <c r="Z321" s="7" t="s">
        <v>231</v>
      </c>
      <c r="AA321" s="7" t="s">
        <v>143</v>
      </c>
      <c r="AB321" s="21" t="s">
        <v>2599</v>
      </c>
      <c r="AC321" s="6" t="s">
        <v>2438</v>
      </c>
      <c r="AD321" s="6"/>
    </row>
    <row r="322" spans="1:30" ht="69.95" customHeight="1">
      <c r="A322" s="34">
        <v>37</v>
      </c>
      <c r="B322" s="7">
        <v>2017</v>
      </c>
      <c r="C322" s="7" t="s">
        <v>62</v>
      </c>
      <c r="D322" s="6" t="str">
        <f>'[1]V, inciso o) (OP)'!C180</f>
        <v>DOPI-MUN-RM-PAV-AD-037-2017</v>
      </c>
      <c r="E322" s="10">
        <f>'[1]V, inciso o) (OP)'!V183</f>
        <v>42804</v>
      </c>
      <c r="F322" s="6" t="str">
        <f>'[1]V, inciso o) (OP)'!AA180</f>
        <v>Construcción de vialidad con concreto hidráulico calle Cuatlicue desde la calle Ozomatlí a la calle Tul, incluye: guarniciones, banquetas, red de agua potable, alcantarillado, servicios complementarios, zona las Mesas, Municipio de Zapopan, Jalisco.</v>
      </c>
      <c r="G322" s="6" t="s">
        <v>63</v>
      </c>
      <c r="H322" s="39">
        <v>1112558.02</v>
      </c>
      <c r="I322" s="6" t="s">
        <v>675</v>
      </c>
      <c r="J322" s="6" t="str">
        <f>'[1]V, inciso o) (OP)'!M180</f>
        <v>JOSE OMAR</v>
      </c>
      <c r="K322" s="7" t="str">
        <f>'[1]V, inciso o) (OP)'!N180</f>
        <v>FERNANDEZ</v>
      </c>
      <c r="L322" s="7" t="str">
        <f>'[1]V, inciso o) (OP)'!O180</f>
        <v>VAZQUEZ</v>
      </c>
      <c r="M322" s="6" t="s">
        <v>2991</v>
      </c>
      <c r="N322" s="7" t="str">
        <f>'[1]V, inciso o) (OP)'!Q180</f>
        <v>ECO0908115Z7</v>
      </c>
      <c r="O322" s="11">
        <f t="shared" si="8"/>
        <v>1112558.02</v>
      </c>
      <c r="P322" s="11">
        <v>1021468.87</v>
      </c>
      <c r="Q322" s="7" t="s">
        <v>433</v>
      </c>
      <c r="R322" s="11">
        <f>O322/375</f>
        <v>2966.8213866666665</v>
      </c>
      <c r="S322" s="7" t="s">
        <v>41</v>
      </c>
      <c r="T322" s="12">
        <v>2492</v>
      </c>
      <c r="U322" s="13" t="s">
        <v>42</v>
      </c>
      <c r="V322" s="7" t="s">
        <v>43</v>
      </c>
      <c r="W322" s="10">
        <f>'[1]V, inciso o) (OP)'!AD180</f>
        <v>42807</v>
      </c>
      <c r="X322" s="10">
        <f>'[1]V, inciso o) (OP)'!AE180</f>
        <v>42855</v>
      </c>
      <c r="Y322" s="7" t="s">
        <v>345</v>
      </c>
      <c r="Z322" s="7" t="s">
        <v>346</v>
      </c>
      <c r="AA322" s="7" t="s">
        <v>347</v>
      </c>
      <c r="AB322" s="21" t="s">
        <v>2909</v>
      </c>
      <c r="AC322" s="6" t="s">
        <v>2438</v>
      </c>
      <c r="AD322" s="6"/>
    </row>
    <row r="323" spans="1:30" ht="69.95" customHeight="1">
      <c r="A323" s="34">
        <v>38</v>
      </c>
      <c r="B323" s="7">
        <v>2017</v>
      </c>
      <c r="C323" s="7" t="s">
        <v>62</v>
      </c>
      <c r="D323" s="6" t="str">
        <f>'[1]V, inciso o) (OP)'!C181</f>
        <v>DOPI-MUN-RM-IM-AD-038-2017</v>
      </c>
      <c r="E323" s="10">
        <f>'[1]V, inciso o) (OP)'!V184</f>
        <v>42824</v>
      </c>
      <c r="F323" s="6" t="str">
        <f>'[1]V, inciso o) (OP)'!AA181</f>
        <v>Rehabilitación y ampliación de bardas perimetrales de infraestructura hidráulica municipal, primera etapa, municipio de Zapopan, Jalisco.</v>
      </c>
      <c r="G323" s="6" t="s">
        <v>63</v>
      </c>
      <c r="H323" s="39">
        <v>1215075.44</v>
      </c>
      <c r="I323" s="6" t="s">
        <v>1024</v>
      </c>
      <c r="J323" s="6" t="str">
        <f>'[1]V, inciso o) (OP)'!M181</f>
        <v>HUGO ARMANDO</v>
      </c>
      <c r="K323" s="7" t="str">
        <f>'[1]V, inciso o) (OP)'!N181</f>
        <v>PRIETO</v>
      </c>
      <c r="L323" s="7" t="str">
        <f>'[1]V, inciso o) (OP)'!O181</f>
        <v>JIMENEZ</v>
      </c>
      <c r="M323" s="6" t="s">
        <v>3129</v>
      </c>
      <c r="N323" s="7" t="str">
        <f>'[1]V, inciso o) (OP)'!Q181</f>
        <v>CRP870708I62</v>
      </c>
      <c r="O323" s="11">
        <f t="shared" si="8"/>
        <v>1215075.44</v>
      </c>
      <c r="P323" s="11">
        <v>974001.13</v>
      </c>
      <c r="Q323" s="7" t="s">
        <v>750</v>
      </c>
      <c r="R323" s="11">
        <f>O323/129</f>
        <v>9419.1894573643403</v>
      </c>
      <c r="S323" s="7" t="s">
        <v>41</v>
      </c>
      <c r="T323" s="12">
        <v>856</v>
      </c>
      <c r="U323" s="13" t="s">
        <v>42</v>
      </c>
      <c r="V323" s="43" t="s">
        <v>43</v>
      </c>
      <c r="W323" s="10">
        <f>'[1]V, inciso o) (OP)'!AD181</f>
        <v>42814</v>
      </c>
      <c r="X323" s="10">
        <f>'[1]V, inciso o) (OP)'!AE181</f>
        <v>42886</v>
      </c>
      <c r="Y323" s="7" t="s">
        <v>705</v>
      </c>
      <c r="Z323" s="7" t="s">
        <v>138</v>
      </c>
      <c r="AA323" s="7" t="s">
        <v>130</v>
      </c>
      <c r="AB323" s="21" t="s">
        <v>2600</v>
      </c>
      <c r="AC323" s="6" t="s">
        <v>2438</v>
      </c>
      <c r="AD323" s="6"/>
    </row>
    <row r="324" spans="1:30" ht="69.95" customHeight="1">
      <c r="A324" s="34">
        <v>39</v>
      </c>
      <c r="B324" s="7">
        <v>2017</v>
      </c>
      <c r="C324" s="7" t="s">
        <v>62</v>
      </c>
      <c r="D324" s="6" t="str">
        <f>'[1]V, inciso o) (OP)'!C182</f>
        <v>DOPI-MUN-RM-ELE-AD-039-2017</v>
      </c>
      <c r="E324" s="10">
        <f>'[1]V, inciso o) (OP)'!V185</f>
        <v>42794</v>
      </c>
      <c r="F324" s="6" t="str">
        <f>'[1]V, inciso o) (OP)'!AA182</f>
        <v>Instalación de la media tensión en la caseta de vigilancia del parque metropolitano, municipio de Zapopan, Jalisco.</v>
      </c>
      <c r="G324" s="6" t="s">
        <v>63</v>
      </c>
      <c r="H324" s="39">
        <v>196108.13</v>
      </c>
      <c r="I324" s="6" t="s">
        <v>751</v>
      </c>
      <c r="J324" s="6" t="str">
        <f>'[1]V, inciso o) (OP)'!M182</f>
        <v>JUAN PABLO</v>
      </c>
      <c r="K324" s="7" t="str">
        <f>'[1]V, inciso o) (OP)'!N182</f>
        <v>VERA</v>
      </c>
      <c r="L324" s="7" t="str">
        <f>'[1]V, inciso o) (OP)'!O182</f>
        <v>TAVARES</v>
      </c>
      <c r="M324" s="6" t="s">
        <v>3130</v>
      </c>
      <c r="N324" s="7" t="str">
        <f>'[1]V, inciso o) (OP)'!Q182</f>
        <v>LCO080228DN2</v>
      </c>
      <c r="O324" s="11">
        <f t="shared" si="8"/>
        <v>196108.13</v>
      </c>
      <c r="P324" s="11">
        <v>195826.14</v>
      </c>
      <c r="Q324" s="7" t="s">
        <v>704</v>
      </c>
      <c r="R324" s="11">
        <f>O324/80</f>
        <v>2451.3516250000002</v>
      </c>
      <c r="S324" s="7" t="s">
        <v>41</v>
      </c>
      <c r="T324" s="12">
        <v>1332272</v>
      </c>
      <c r="U324" s="13" t="s">
        <v>42</v>
      </c>
      <c r="V324" s="7" t="s">
        <v>43</v>
      </c>
      <c r="W324" s="10">
        <f>'[1]V, inciso o) (OP)'!AD182</f>
        <v>42814</v>
      </c>
      <c r="X324" s="10">
        <f>'[1]V, inciso o) (OP)'!AE182</f>
        <v>42855</v>
      </c>
      <c r="Y324" s="7" t="s">
        <v>705</v>
      </c>
      <c r="Z324" s="7" t="s">
        <v>138</v>
      </c>
      <c r="AA324" s="7" t="s">
        <v>130</v>
      </c>
      <c r="AB324" s="21" t="s">
        <v>2601</v>
      </c>
      <c r="AC324" s="6" t="s">
        <v>2438</v>
      </c>
      <c r="AD324" s="6"/>
    </row>
    <row r="325" spans="1:30" ht="69.95" customHeight="1">
      <c r="A325" s="34">
        <v>40</v>
      </c>
      <c r="B325" s="7">
        <v>2017</v>
      </c>
      <c r="C325" s="7" t="s">
        <v>62</v>
      </c>
      <c r="D325" s="6" t="str">
        <f>'[1]V, inciso o) (OP)'!C183</f>
        <v>DOPI-MUN-RM-AP-AD-040-2017</v>
      </c>
      <c r="E325" s="10">
        <f>'[1]V, inciso o) (OP)'!V186</f>
        <v>42804</v>
      </c>
      <c r="F325" s="6" t="str">
        <f>'[1]V, inciso o) (OP)'!AA183</f>
        <v>Sustitución de red de agua potable en la calle Laurel de la calle Paseo de los Manzanos a calle Palmeras, en la colonia Lomas de Tabachines I sección, en el municipio de Zapopan, Jalisco.</v>
      </c>
      <c r="G325" s="6" t="s">
        <v>63</v>
      </c>
      <c r="H325" s="39">
        <v>1389276.63</v>
      </c>
      <c r="I325" s="6" t="s">
        <v>90</v>
      </c>
      <c r="J325" s="6" t="str">
        <f>'[1]V, inciso o) (OP)'!M183</f>
        <v>EDGARDO</v>
      </c>
      <c r="K325" s="7" t="str">
        <f>'[1]V, inciso o) (OP)'!N183</f>
        <v>ZUÑIGA</v>
      </c>
      <c r="L325" s="7" t="str">
        <f>'[1]V, inciso o) (OP)'!O183</f>
        <v>BERISTAIN</v>
      </c>
      <c r="M325" s="6" t="s">
        <v>3131</v>
      </c>
      <c r="N325" s="7" t="str">
        <f>'[1]V, inciso o) (OP)'!Q183</f>
        <v>PIZ070717DX6</v>
      </c>
      <c r="O325" s="11">
        <f t="shared" si="8"/>
        <v>1389276.63</v>
      </c>
      <c r="P325" s="11">
        <v>665384.47</v>
      </c>
      <c r="Q325" s="7" t="s">
        <v>752</v>
      </c>
      <c r="R325" s="11">
        <f>O325/428</f>
        <v>3245.9734345794391</v>
      </c>
      <c r="S325" s="7" t="s">
        <v>41</v>
      </c>
      <c r="T325" s="12">
        <v>2782</v>
      </c>
      <c r="U325" s="13" t="s">
        <v>42</v>
      </c>
      <c r="V325" s="7" t="s">
        <v>43</v>
      </c>
      <c r="W325" s="10">
        <f>'[1]V, inciso o) (OP)'!AD183</f>
        <v>42807</v>
      </c>
      <c r="X325" s="10">
        <f>'[1]V, inciso o) (OP)'!AE183</f>
        <v>42855</v>
      </c>
      <c r="Y325" s="7" t="s">
        <v>753</v>
      </c>
      <c r="Z325" s="7" t="s">
        <v>754</v>
      </c>
      <c r="AA325" s="7" t="s">
        <v>755</v>
      </c>
      <c r="AB325" s="21" t="s">
        <v>2602</v>
      </c>
      <c r="AC325" s="6" t="s">
        <v>2438</v>
      </c>
      <c r="AD325" s="6"/>
    </row>
    <row r="326" spans="1:30" ht="69.95" customHeight="1">
      <c r="A326" s="34">
        <v>41</v>
      </c>
      <c r="B326" s="7">
        <v>2017</v>
      </c>
      <c r="C326" s="6" t="s">
        <v>139</v>
      </c>
      <c r="D326" s="6" t="str">
        <f>'[1]V, inciso p) (OP)'!D151</f>
        <v>DOPI-MUN-FORTA-BAN-CI-041-2017</v>
      </c>
      <c r="E326" s="10">
        <f>'[1]V, inciso p) (OP)'!AD151</f>
        <v>42877</v>
      </c>
      <c r="F326" s="6" t="str">
        <f>'[1]V, inciso p) (OP)'!AL151</f>
        <v>Peatonalización (banquetas y obras de accesibilidad) del área de influencia de escuelas, hospitales, mercados, centros culturales, plazas públicas y clínicas, municipio de Zapopan, Jalisco, Frente 1.</v>
      </c>
      <c r="G326" s="6" t="s">
        <v>3322</v>
      </c>
      <c r="H326" s="39">
        <v>2990803.7</v>
      </c>
      <c r="I326" s="6" t="str">
        <f>'[1]V, inciso p) (OP)'!AS151</f>
        <v>Col. Lomas de Tabachines, Jardines del Valle, El Vigia, Misión del Bosque</v>
      </c>
      <c r="J326" s="6" t="str">
        <f>'[1]V, inciso p) (OP)'!T151</f>
        <v>Omar</v>
      </c>
      <c r="K326" s="6" t="str">
        <f>'[1]V, inciso p) (OP)'!U151</f>
        <v>Mora</v>
      </c>
      <c r="L326" s="6" t="str">
        <f>'[1]V, inciso p) (OP)'!V151</f>
        <v>Montes de Oca</v>
      </c>
      <c r="M326" s="6" t="s">
        <v>3000</v>
      </c>
      <c r="N326" s="6" t="str">
        <f>'[1]V, inciso p) (OP)'!X151</f>
        <v>DCO130215C16</v>
      </c>
      <c r="O326" s="11">
        <f t="shared" si="8"/>
        <v>2990803.7</v>
      </c>
      <c r="P326" s="11">
        <v>2990801.26</v>
      </c>
      <c r="Q326" s="14" t="s">
        <v>756</v>
      </c>
      <c r="R326" s="15">
        <f>O326/2633</f>
        <v>1135.8920243068744</v>
      </c>
      <c r="S326" s="7" t="s">
        <v>41</v>
      </c>
      <c r="T326" s="12">
        <v>374894</v>
      </c>
      <c r="U326" s="13" t="s">
        <v>42</v>
      </c>
      <c r="V326" s="43" t="s">
        <v>43</v>
      </c>
      <c r="W326" s="10">
        <v>42877</v>
      </c>
      <c r="X326" s="10">
        <v>42996</v>
      </c>
      <c r="Y326" s="7" t="s">
        <v>429</v>
      </c>
      <c r="Z326" s="7" t="s">
        <v>290</v>
      </c>
      <c r="AA326" s="7" t="s">
        <v>73</v>
      </c>
      <c r="AB326" s="21" t="s">
        <v>2603</v>
      </c>
      <c r="AC326" s="6" t="s">
        <v>2438</v>
      </c>
      <c r="AD326" s="6"/>
    </row>
    <row r="327" spans="1:30" ht="69.95" customHeight="1">
      <c r="A327" s="34">
        <v>42</v>
      </c>
      <c r="B327" s="7">
        <v>2017</v>
      </c>
      <c r="C327" s="6" t="s">
        <v>139</v>
      </c>
      <c r="D327" s="6" t="str">
        <f>'[1]V, inciso p) (OP)'!D152</f>
        <v>DOPI-MUN-FORTA-BAN-CI-042-2017</v>
      </c>
      <c r="E327" s="10">
        <f>'[1]V, inciso p) (OP)'!AD152</f>
        <v>42877</v>
      </c>
      <c r="F327" s="6" t="str">
        <f>'[1]V, inciso p) (OP)'!AL152</f>
        <v>Peatonalización (banquetas y obras de accesibilidad) del área de influencia de escuelas, hospitales, mercados, centros culturales, plazas públicas y clínicas, municipio de Zapopan, Jalisco, Frente 2.</v>
      </c>
      <c r="G327" s="6" t="s">
        <v>3322</v>
      </c>
      <c r="H327" s="39">
        <v>2994800.57</v>
      </c>
      <c r="I327" s="6" t="str">
        <f>'[1]V, inciso p) (OP)'!AS152</f>
        <v>Col. Nextipac, Mariano Otero</v>
      </c>
      <c r="J327" s="6" t="str">
        <f>'[1]V, inciso p) (OP)'!T152</f>
        <v>Elba</v>
      </c>
      <c r="K327" s="6" t="str">
        <f>'[1]V, inciso p) (OP)'!U152</f>
        <v xml:space="preserve">González </v>
      </c>
      <c r="L327" s="6" t="str">
        <f>'[1]V, inciso p) (OP)'!V152</f>
        <v>Aguirre</v>
      </c>
      <c r="M327" s="6" t="s">
        <v>2977</v>
      </c>
      <c r="N327" s="6" t="str">
        <f>'[1]V, inciso p) (OP)'!X152</f>
        <v>GUR120612P22</v>
      </c>
      <c r="O327" s="11">
        <f t="shared" si="8"/>
        <v>2994800.57</v>
      </c>
      <c r="P327" s="11">
        <v>1229637.03</v>
      </c>
      <c r="Q327" s="14" t="s">
        <v>757</v>
      </c>
      <c r="R327" s="15">
        <f>O327/2533</f>
        <v>1182.3136873272799</v>
      </c>
      <c r="S327" s="7" t="s">
        <v>41</v>
      </c>
      <c r="T327" s="12">
        <v>396147</v>
      </c>
      <c r="U327" s="13" t="s">
        <v>42</v>
      </c>
      <c r="V327" s="43" t="s">
        <v>43</v>
      </c>
      <c r="W327" s="10">
        <v>42877</v>
      </c>
      <c r="X327" s="10">
        <v>42996</v>
      </c>
      <c r="Y327" s="7" t="s">
        <v>603</v>
      </c>
      <c r="Z327" s="7" t="s">
        <v>604</v>
      </c>
      <c r="AA327" s="7" t="s">
        <v>605</v>
      </c>
      <c r="AB327" s="21" t="s">
        <v>2604</v>
      </c>
      <c r="AC327" s="6" t="s">
        <v>2438</v>
      </c>
      <c r="AD327" s="6"/>
    </row>
    <row r="328" spans="1:30" ht="69.95" customHeight="1">
      <c r="A328" s="34">
        <v>43</v>
      </c>
      <c r="B328" s="7">
        <v>2017</v>
      </c>
      <c r="C328" s="6" t="s">
        <v>139</v>
      </c>
      <c r="D328" s="6" t="str">
        <f>'[1]V, inciso p) (OP)'!D153</f>
        <v>DOPI-MUN-RM-IH-CI-043-2017</v>
      </c>
      <c r="E328" s="10">
        <f>'[1]V, inciso p) (OP)'!AD153</f>
        <v>42868</v>
      </c>
      <c r="F328" s="6" t="str">
        <f>'[1]V, inciso p) (OP)'!AL153</f>
        <v>Construcción de estructuras de llegada, demasías, de acceso y de control e instalación de gaviones en el estanque de retención de agua pluviales para mitigar riesgo de inundaciones en Santa María del Pueblito, municipio de Zapopan, Jalisco.</v>
      </c>
      <c r="G328" s="6" t="s">
        <v>63</v>
      </c>
      <c r="H328" s="39">
        <v>10561888.6</v>
      </c>
      <c r="I328" s="6" t="str">
        <f>'[1]V, inciso p) (OP)'!AS153</f>
        <v>Col. Santa Maria del Pueblito</v>
      </c>
      <c r="J328" s="6" t="str">
        <f>'[1]V, inciso p) (OP)'!T153</f>
        <v xml:space="preserve">Marco Antonio </v>
      </c>
      <c r="K328" s="6" t="str">
        <f>'[1]V, inciso p) (OP)'!U153</f>
        <v>Lozano</v>
      </c>
      <c r="L328" s="6" t="str">
        <f>'[1]V, inciso p) (OP)'!V153</f>
        <v>Estrada</v>
      </c>
      <c r="M328" s="6" t="s">
        <v>3132</v>
      </c>
      <c r="N328" s="6" t="str">
        <f>'[1]V, inciso p) (OP)'!X153</f>
        <v>DFU090928JB5</v>
      </c>
      <c r="O328" s="11">
        <f t="shared" si="8"/>
        <v>10561888.6</v>
      </c>
      <c r="P328" s="11">
        <v>10249418.170000002</v>
      </c>
      <c r="Q328" s="14" t="s">
        <v>758</v>
      </c>
      <c r="R328" s="15">
        <f>O328/845</f>
        <v>12499.276449704141</v>
      </c>
      <c r="S328" s="7" t="s">
        <v>41</v>
      </c>
      <c r="T328" s="12">
        <v>6778</v>
      </c>
      <c r="U328" s="13" t="s">
        <v>42</v>
      </c>
      <c r="V328" s="43" t="s">
        <v>43</v>
      </c>
      <c r="W328" s="10">
        <v>42868</v>
      </c>
      <c r="X328" s="10">
        <v>42987</v>
      </c>
      <c r="Y328" s="7" t="s">
        <v>331</v>
      </c>
      <c r="Z328" s="7" t="s">
        <v>332</v>
      </c>
      <c r="AA328" s="7" t="s">
        <v>116</v>
      </c>
      <c r="AB328" s="21" t="s">
        <v>2605</v>
      </c>
      <c r="AC328" s="6" t="s">
        <v>2438</v>
      </c>
      <c r="AD328" s="6"/>
    </row>
    <row r="329" spans="1:30" ht="69.95" customHeight="1">
      <c r="A329" s="34">
        <v>44</v>
      </c>
      <c r="B329" s="7">
        <v>2017</v>
      </c>
      <c r="C329" s="6" t="s">
        <v>139</v>
      </c>
      <c r="D329" s="6" t="str">
        <f>'[1]V, inciso p) (OP)'!D154</f>
        <v>DOPI-MUN-RM-IH-CI-044-2017</v>
      </c>
      <c r="E329" s="10">
        <f>'[1]V, inciso p) (OP)'!AD154</f>
        <v>42868</v>
      </c>
      <c r="F329" s="6" t="str">
        <f>'[1]V, inciso p) (OP)'!AL154</f>
        <v>Construcción colector de alejamiento del vaso regulador de Santa María del Pueblito, municipio de Zapopan, Jalisco.</v>
      </c>
      <c r="G329" s="6" t="s">
        <v>63</v>
      </c>
      <c r="H329" s="39">
        <v>3706562.02</v>
      </c>
      <c r="I329" s="6" t="str">
        <f>'[1]V, inciso p) (OP)'!AS154</f>
        <v>Col. Santa Maria del Pueblito</v>
      </c>
      <c r="J329" s="6" t="str">
        <f>'[1]V, inciso p) (OP)'!T154</f>
        <v>Claudio Felipe</v>
      </c>
      <c r="K329" s="6" t="str">
        <f>'[1]V, inciso p) (OP)'!U154</f>
        <v>Trujillo</v>
      </c>
      <c r="L329" s="6" t="str">
        <f>'[1]V, inciso p) (OP)'!V154</f>
        <v>Gracián</v>
      </c>
      <c r="M329" s="6" t="s">
        <v>3019</v>
      </c>
      <c r="N329" s="6" t="str">
        <f>'[1]V, inciso p) (OP)'!X154</f>
        <v>DLU100818F46</v>
      </c>
      <c r="O329" s="11">
        <f t="shared" si="8"/>
        <v>3706562.02</v>
      </c>
      <c r="P329" s="11">
        <v>3600446.29</v>
      </c>
      <c r="Q329" s="14" t="s">
        <v>759</v>
      </c>
      <c r="R329" s="15">
        <f>O329/145</f>
        <v>25562.496689655174</v>
      </c>
      <c r="S329" s="7" t="s">
        <v>41</v>
      </c>
      <c r="T329" s="12">
        <v>6778</v>
      </c>
      <c r="U329" s="13" t="s">
        <v>42</v>
      </c>
      <c r="V329" s="7" t="s">
        <v>43</v>
      </c>
      <c r="W329" s="10">
        <v>42868</v>
      </c>
      <c r="X329" s="10">
        <v>42987</v>
      </c>
      <c r="Y329" s="7" t="s">
        <v>331</v>
      </c>
      <c r="Z329" s="7" t="s">
        <v>332</v>
      </c>
      <c r="AA329" s="7" t="s">
        <v>116</v>
      </c>
      <c r="AB329" s="21" t="s">
        <v>2606</v>
      </c>
      <c r="AC329" s="6" t="s">
        <v>2438</v>
      </c>
      <c r="AD329" s="6"/>
    </row>
    <row r="330" spans="1:30" ht="69.95" customHeight="1">
      <c r="A330" s="34">
        <v>45</v>
      </c>
      <c r="B330" s="7">
        <v>2017</v>
      </c>
      <c r="C330" s="6" t="s">
        <v>139</v>
      </c>
      <c r="D330" s="6" t="str">
        <f>'[1]V, inciso p) (OP)'!D155</f>
        <v>DOPI-MUN-RM-PAV-CI-045-2017</v>
      </c>
      <c r="E330" s="10">
        <f>'[1]V, inciso p) (OP)'!AD155</f>
        <v>42868</v>
      </c>
      <c r="F330" s="32" t="str">
        <f>'[1]V, inciso p) (OP)'!AL155</f>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1.</v>
      </c>
      <c r="G330" s="6" t="s">
        <v>63</v>
      </c>
      <c r="H330" s="39">
        <v>7960738.7999999998</v>
      </c>
      <c r="I330" s="6" t="str">
        <f>'[1]V, inciso p) (OP)'!AS155</f>
        <v>Col. El Tigre</v>
      </c>
      <c r="J330" s="6" t="str">
        <f>'[1]V, inciso p) (OP)'!T155</f>
        <v>Sergio Alberto</v>
      </c>
      <c r="K330" s="6" t="str">
        <f>'[1]V, inciso p) (OP)'!U155</f>
        <v>Baylon</v>
      </c>
      <c r="L330" s="6" t="str">
        <f>'[1]V, inciso p) (OP)'!V155</f>
        <v>Moreno</v>
      </c>
      <c r="M330" s="6" t="s">
        <v>2980</v>
      </c>
      <c r="N330" s="6" t="str">
        <f>'[1]V, inciso p) (OP)'!X155</f>
        <v>EEC9909173A7</v>
      </c>
      <c r="O330" s="11">
        <f t="shared" si="8"/>
        <v>7960738.7999999998</v>
      </c>
      <c r="P330" s="11">
        <v>7960738.8300000001</v>
      </c>
      <c r="Q330" s="14" t="s">
        <v>760</v>
      </c>
      <c r="R330" s="15">
        <f>O330/6141</f>
        <v>1296.3261358085001</v>
      </c>
      <c r="S330" s="7" t="s">
        <v>41</v>
      </c>
      <c r="T330" s="12">
        <v>2932</v>
      </c>
      <c r="U330" s="13" t="s">
        <v>42</v>
      </c>
      <c r="V330" s="43" t="s">
        <v>43</v>
      </c>
      <c r="W330" s="10">
        <v>42868</v>
      </c>
      <c r="X330" s="10">
        <v>42987</v>
      </c>
      <c r="Y330" s="7" t="s">
        <v>761</v>
      </c>
      <c r="Z330" s="7" t="s">
        <v>715</v>
      </c>
      <c r="AA330" s="7" t="s">
        <v>311</v>
      </c>
      <c r="AB330" s="21" t="s">
        <v>2607</v>
      </c>
      <c r="AC330" s="6" t="s">
        <v>2438</v>
      </c>
      <c r="AD330" s="6"/>
    </row>
    <row r="331" spans="1:30" ht="69.95" customHeight="1">
      <c r="A331" s="34">
        <v>46</v>
      </c>
      <c r="B331" s="7">
        <v>2017</v>
      </c>
      <c r="C331" s="6" t="s">
        <v>139</v>
      </c>
      <c r="D331" s="6" t="str">
        <f>'[1]V, inciso p) (OP)'!D156</f>
        <v>DOPI-MUN-RM-PAV-CI-046-2017</v>
      </c>
      <c r="E331" s="10">
        <f>'[1]V, inciso p) (OP)'!AD156</f>
        <v>42868</v>
      </c>
      <c r="F331" s="32" t="str">
        <f>'[1]V, inciso p) (OP)'!AL156</f>
        <v>Rehabilitación de la vialidad Av. Dr. Ángel Leaño, incluye: red de agua potable, alcantarillado, obras hidráulicas y de infiltración, guarniciones, banquetas, accesibilidad, ciclovía, servicios complementarios, pasos de fauna y reforestación, Tramo Zona de Nixticuitl, municipio de Zapopan, Jalisco, Frente 2.</v>
      </c>
      <c r="G331" s="6" t="s">
        <v>63</v>
      </c>
      <c r="H331" s="39">
        <v>5822124.1500000004</v>
      </c>
      <c r="I331" s="6" t="str">
        <f>'[1]V, inciso p) (OP)'!AS156</f>
        <v>Col. El Tigre</v>
      </c>
      <c r="J331" s="6" t="str">
        <f>'[1]V, inciso p) (OP)'!T156</f>
        <v>Luis Armando</v>
      </c>
      <c r="K331" s="6" t="str">
        <f>'[1]V, inciso p) (OP)'!U156</f>
        <v>Linares</v>
      </c>
      <c r="L331" s="6" t="str">
        <f>'[1]V, inciso p) (OP)'!V156</f>
        <v>Cacho</v>
      </c>
      <c r="M331" s="6" t="s">
        <v>3002</v>
      </c>
      <c r="N331" s="6" t="str">
        <f>'[1]V, inciso p) (OP)'!X156</f>
        <v>URC160310857</v>
      </c>
      <c r="O331" s="11">
        <f t="shared" si="8"/>
        <v>5822124.1500000004</v>
      </c>
      <c r="P331" s="11">
        <v>5765370.8899999997</v>
      </c>
      <c r="Q331" s="14" t="s">
        <v>762</v>
      </c>
      <c r="R331" s="15">
        <f>O331/3764</f>
        <v>1546.7917507970246</v>
      </c>
      <c r="S331" s="7" t="s">
        <v>41</v>
      </c>
      <c r="T331" s="12">
        <v>2932</v>
      </c>
      <c r="U331" s="13" t="s">
        <v>42</v>
      </c>
      <c r="V331" s="43" t="s">
        <v>43</v>
      </c>
      <c r="W331" s="10">
        <v>42868</v>
      </c>
      <c r="X331" s="10">
        <v>42987</v>
      </c>
      <c r="Y331" s="7" t="s">
        <v>761</v>
      </c>
      <c r="Z331" s="7" t="s">
        <v>715</v>
      </c>
      <c r="AA331" s="7" t="s">
        <v>311</v>
      </c>
      <c r="AB331" s="21" t="s">
        <v>2908</v>
      </c>
      <c r="AC331" s="6" t="s">
        <v>2438</v>
      </c>
      <c r="AD331" s="6"/>
    </row>
    <row r="332" spans="1:30" ht="69.95" customHeight="1">
      <c r="A332" s="34">
        <v>47</v>
      </c>
      <c r="B332" s="7">
        <v>2017</v>
      </c>
      <c r="C332" s="6" t="s">
        <v>139</v>
      </c>
      <c r="D332" s="6" t="str">
        <f>'[1]V, inciso p) (OP)'!D157</f>
        <v>DOPI-MUN-RM-PAV-CI-047-2017</v>
      </c>
      <c r="E332" s="10">
        <f>'[1]V, inciso p) (OP)'!AD157</f>
        <v>42868</v>
      </c>
      <c r="F332" s="32" t="str">
        <f>'[1]V, inciso p) (OP)'!AL157</f>
        <v>Construcción de pavimento de concreto hidráulico, incluye: agua potable, alcantarillado, guarniciones, banquetas, accesibilidad, servicios complementarios y forestación, en la calle Rizo Ayala de calle Paseo de los Manzanos a calle Las Araucarias y en la calle Paseo de Las Araucarias de Rizo Ayala Andador Rizo Ayala; Construcción de Andador Rizo Ayala, de Paseos de Los Manzanos a Paseo de La Araucarias, municipio de Zapopan, Jalisco.</v>
      </c>
      <c r="G332" s="6" t="s">
        <v>63</v>
      </c>
      <c r="H332" s="39">
        <v>3722082.59</v>
      </c>
      <c r="I332" s="6" t="str">
        <f>'[1]V, inciso p) (OP)'!AS157</f>
        <v>Col. La Martinica</v>
      </c>
      <c r="J332" s="6" t="str">
        <f>'[1]V, inciso p) (OP)'!T157</f>
        <v>Miguel Ángel</v>
      </c>
      <c r="K332" s="6" t="str">
        <f>'[1]V, inciso p) (OP)'!U157</f>
        <v>Romero</v>
      </c>
      <c r="L332" s="6" t="str">
        <f>'[1]V, inciso p) (OP)'!V157</f>
        <v>Lugo</v>
      </c>
      <c r="M332" s="6" t="s">
        <v>342</v>
      </c>
      <c r="N332" s="6" t="str">
        <f>'[1]V, inciso p) (OP)'!X157</f>
        <v>OCC940714PB0</v>
      </c>
      <c r="O332" s="11">
        <f t="shared" si="8"/>
        <v>3722082.59</v>
      </c>
      <c r="P332" s="11">
        <v>3722082.59</v>
      </c>
      <c r="Q332" s="14" t="s">
        <v>763</v>
      </c>
      <c r="R332" s="15">
        <f>O332/2711</f>
        <v>1372.9555846551089</v>
      </c>
      <c r="S332" s="7" t="s">
        <v>41</v>
      </c>
      <c r="T332" s="12">
        <v>3334</v>
      </c>
      <c r="U332" s="13" t="s">
        <v>42</v>
      </c>
      <c r="V332" s="7" t="s">
        <v>373</v>
      </c>
      <c r="W332" s="10">
        <v>42868</v>
      </c>
      <c r="X332" s="10">
        <v>42987</v>
      </c>
      <c r="Y332" s="7" t="s">
        <v>441</v>
      </c>
      <c r="Z332" s="7" t="s">
        <v>442</v>
      </c>
      <c r="AA332" s="7" t="s">
        <v>443</v>
      </c>
      <c r="AB332" s="21" t="s">
        <v>2907</v>
      </c>
      <c r="AC332" s="6" t="s">
        <v>2438</v>
      </c>
      <c r="AD332" s="6"/>
    </row>
    <row r="333" spans="1:30" ht="69.95" customHeight="1">
      <c r="A333" s="34">
        <v>48</v>
      </c>
      <c r="B333" s="7">
        <v>2017</v>
      </c>
      <c r="C333" s="6" t="s">
        <v>139</v>
      </c>
      <c r="D333" s="6" t="str">
        <f>'[1]V, inciso p) (OP)'!D158</f>
        <v>DOPI-MUN-RM-PAV-CI-048-2017</v>
      </c>
      <c r="E333" s="10">
        <f>'[1]V, inciso p) (OP)'!AD158</f>
        <v>42868</v>
      </c>
      <c r="F333" s="6" t="str">
        <f>'[1]V, inciso p) (OP)'!AL158</f>
        <v>Construcción de puente vehicular y adecuaciones pluviales sobre El Arroyo Seco, en la colonia El Briseño, municipio de Zapopan, Jalisco.</v>
      </c>
      <c r="G333" s="6" t="s">
        <v>63</v>
      </c>
      <c r="H333" s="39">
        <v>4544310.46</v>
      </c>
      <c r="I333" s="6" t="str">
        <f>'[1]V, inciso p) (OP)'!AS158</f>
        <v>Col. El Briseño</v>
      </c>
      <c r="J333" s="6" t="str">
        <f>'[1]V, inciso p) (OP)'!T158</f>
        <v>Victor</v>
      </c>
      <c r="K333" s="6" t="str">
        <f>'[1]V, inciso p) (OP)'!U158</f>
        <v>Zayas</v>
      </c>
      <c r="L333" s="6" t="str">
        <f>'[1]V, inciso p) (OP)'!V158</f>
        <v>Riquelme</v>
      </c>
      <c r="M333" s="6" t="s">
        <v>3133</v>
      </c>
      <c r="N333" s="6" t="str">
        <f>'[1]V, inciso p) (OP)'!X158</f>
        <v>GIC810323RA6</v>
      </c>
      <c r="O333" s="11">
        <f t="shared" si="8"/>
        <v>4544310.46</v>
      </c>
      <c r="P333" s="11">
        <v>4544310.45</v>
      </c>
      <c r="Q333" s="14" t="s">
        <v>499</v>
      </c>
      <c r="R333" s="15">
        <f>O333/1</f>
        <v>4544310.46</v>
      </c>
      <c r="S333" s="7" t="s">
        <v>41</v>
      </c>
      <c r="T333" s="12">
        <v>5790</v>
      </c>
      <c r="U333" s="13" t="s">
        <v>42</v>
      </c>
      <c r="V333" s="43" t="s">
        <v>43</v>
      </c>
      <c r="W333" s="10">
        <v>42868</v>
      </c>
      <c r="X333" s="10">
        <v>42987</v>
      </c>
      <c r="Y333" s="7" t="s">
        <v>722</v>
      </c>
      <c r="Z333" s="7" t="s">
        <v>231</v>
      </c>
      <c r="AA333" s="7" t="s">
        <v>143</v>
      </c>
      <c r="AB333" s="21" t="s">
        <v>2608</v>
      </c>
      <c r="AC333" s="6" t="s">
        <v>2438</v>
      </c>
      <c r="AD333" s="6"/>
    </row>
    <row r="334" spans="1:30" ht="69.95" customHeight="1">
      <c r="A334" s="34">
        <v>49</v>
      </c>
      <c r="B334" s="7">
        <v>2017</v>
      </c>
      <c r="C334" s="6" t="s">
        <v>31</v>
      </c>
      <c r="D334" s="6" t="str">
        <f>'[1]V, inciso p) (OP)'!D159</f>
        <v>DOPI-MUN-RM-EP-LP-049-2017</v>
      </c>
      <c r="E334" s="10">
        <f>'[1]V, inciso p) (OP)'!AD159</f>
        <v>42893</v>
      </c>
      <c r="F334" s="6" t="str">
        <f>'[1]V, inciso p) (OP)'!AL159</f>
        <v>Construcción de Fuente interactiva en plaza Las Américas, municipio de Zapopan, Jalisco.</v>
      </c>
      <c r="G334" s="6" t="s">
        <v>63</v>
      </c>
      <c r="H334" s="39">
        <v>9027947.1300000008</v>
      </c>
      <c r="I334" s="6" t="str">
        <f>'[1]V, inciso p) (OP)'!AS159</f>
        <v>Col. Centro</v>
      </c>
      <c r="J334" s="6" t="str">
        <f>'[1]V, inciso p) (OP)'!T159</f>
        <v>Ignacio Javier</v>
      </c>
      <c r="K334" s="6" t="str">
        <f>'[1]V, inciso p) (OP)'!U159</f>
        <v>Curiel</v>
      </c>
      <c r="L334" s="6" t="str">
        <f>'[1]V, inciso p) (OP)'!V159</f>
        <v>Dueñas</v>
      </c>
      <c r="M334" s="6" t="s">
        <v>248</v>
      </c>
      <c r="N334" s="6" t="str">
        <f>'[1]V, inciso p) (OP)'!X159</f>
        <v>TCM100915HA1</v>
      </c>
      <c r="O334" s="11">
        <f t="shared" si="8"/>
        <v>9027947.1300000008</v>
      </c>
      <c r="P334" s="11">
        <v>8972913.2200000007</v>
      </c>
      <c r="Q334" s="14" t="s">
        <v>764</v>
      </c>
      <c r="R334" s="15">
        <f>O334/90</f>
        <v>100310.52366666668</v>
      </c>
      <c r="S334" s="7" t="s">
        <v>41</v>
      </c>
      <c r="T334" s="12">
        <v>1332272</v>
      </c>
      <c r="U334" s="13" t="s">
        <v>42</v>
      </c>
      <c r="V334" s="43" t="s">
        <v>43</v>
      </c>
      <c r="W334" s="10">
        <v>42868</v>
      </c>
      <c r="X334" s="10">
        <v>42987</v>
      </c>
      <c r="Y334" s="7" t="s">
        <v>446</v>
      </c>
      <c r="Z334" s="7" t="s">
        <v>447</v>
      </c>
      <c r="AA334" s="7" t="s">
        <v>448</v>
      </c>
      <c r="AB334" s="21" t="s">
        <v>2609</v>
      </c>
      <c r="AC334" s="6" t="s">
        <v>2438</v>
      </c>
      <c r="AD334" s="6"/>
    </row>
    <row r="335" spans="1:30" ht="69.95" customHeight="1">
      <c r="A335" s="34">
        <v>50</v>
      </c>
      <c r="B335" s="7">
        <v>2017</v>
      </c>
      <c r="C335" s="6" t="s">
        <v>31</v>
      </c>
      <c r="D335" s="6" t="str">
        <f>'[1]V, inciso p) (OP)'!D160</f>
        <v>DOPI-MUN-RM-PAV-LP-050-2017</v>
      </c>
      <c r="E335" s="10">
        <f>'[1]V, inciso p) (OP)'!AD160</f>
        <v>42893</v>
      </c>
      <c r="F335" s="6" t="str">
        <f>'[1]V, inciso p) (OP)'!AL160</f>
        <v>Pavimentación con concreto hidráulico en la colonia El Rehilete, incluye: agua potable, drenaje sanitario, guarniciones, banquetas, accesibilidad, media tensión y servicios complementarios, en el municipio de Zapopan, Jalisco, frente 1.</v>
      </c>
      <c r="G335" s="6" t="s">
        <v>63</v>
      </c>
      <c r="H335" s="39">
        <v>4304584.1399999997</v>
      </c>
      <c r="I335" s="6" t="str">
        <f>'[1]V, inciso p) (OP)'!AS160</f>
        <v>Col. El Rehilete</v>
      </c>
      <c r="J335" s="6" t="str">
        <f>'[1]V, inciso p) (OP)'!T160</f>
        <v>ENRIQUE</v>
      </c>
      <c r="K335" s="6" t="str">
        <f>'[1]V, inciso p) (OP)'!U160</f>
        <v>LUGO</v>
      </c>
      <c r="L335" s="6" t="str">
        <f>'[1]V, inciso p) (OP)'!V160</f>
        <v>IBARRA</v>
      </c>
      <c r="M335" s="6" t="s">
        <v>3044</v>
      </c>
      <c r="N335" s="6" t="str">
        <f>'[1]V, inciso p) (OP)'!X160</f>
        <v>CMI110222AA0</v>
      </c>
      <c r="O335" s="11">
        <f t="shared" si="8"/>
        <v>4304584.1399999997</v>
      </c>
      <c r="P335" s="11">
        <v>3778681.54</v>
      </c>
      <c r="Q335" s="14" t="s">
        <v>765</v>
      </c>
      <c r="R335" s="15">
        <f>O335/1152</f>
        <v>3736.6181770833332</v>
      </c>
      <c r="S335" s="7" t="s">
        <v>41</v>
      </c>
      <c r="T335" s="12">
        <v>4144</v>
      </c>
      <c r="U335" s="13" t="s">
        <v>42</v>
      </c>
      <c r="V335" s="43" t="s">
        <v>43</v>
      </c>
      <c r="W335" s="10">
        <v>42868</v>
      </c>
      <c r="X335" s="10">
        <v>42987</v>
      </c>
      <c r="Y335" s="7" t="s">
        <v>722</v>
      </c>
      <c r="Z335" s="7" t="s">
        <v>231</v>
      </c>
      <c r="AA335" s="7" t="s">
        <v>143</v>
      </c>
      <c r="AB335" s="21" t="s">
        <v>2610</v>
      </c>
      <c r="AC335" s="6" t="s">
        <v>2438</v>
      </c>
      <c r="AD335" s="6"/>
    </row>
    <row r="336" spans="1:30" ht="69.95" customHeight="1">
      <c r="A336" s="34">
        <v>51</v>
      </c>
      <c r="B336" s="7">
        <v>2017</v>
      </c>
      <c r="C336" s="6" t="s">
        <v>31</v>
      </c>
      <c r="D336" s="6" t="str">
        <f>'[1]V, inciso p) (OP)'!D161</f>
        <v>DOPI-MUN-RM-PAV-LP-051-2017</v>
      </c>
      <c r="E336" s="10">
        <f>'[1]V, inciso p) (OP)'!AD161</f>
        <v>42893</v>
      </c>
      <c r="F336" s="6" t="str">
        <f>'[1]V, inciso p) (OP)'!AL161</f>
        <v>Pavimentación con concreto hidráulico en la colonia El Rehilete, incluye: agua potable, drenaje sanitario, guarniciones, banquetas, accesibilidad, media tensión y servicios complementarios, en el municipio de Zapopan, Jalisco, frente 2.</v>
      </c>
      <c r="G336" s="6" t="s">
        <v>63</v>
      </c>
      <c r="H336" s="39">
        <v>4673696.32</v>
      </c>
      <c r="I336" s="6" t="str">
        <f>'[1]V, inciso p) (OP)'!AS161</f>
        <v>Col. El Rehilete</v>
      </c>
      <c r="J336" s="6" t="str">
        <f>'[1]V, inciso p) (OP)'!T161</f>
        <v>Sergio Cesar</v>
      </c>
      <c r="K336" s="6" t="str">
        <f>'[1]V, inciso p) (OP)'!U161</f>
        <v>Diaz</v>
      </c>
      <c r="L336" s="6" t="str">
        <f>'[1]V, inciso p) (OP)'!V161</f>
        <v>Quiroz</v>
      </c>
      <c r="M336" s="6" t="s">
        <v>2999</v>
      </c>
      <c r="N336" s="6" t="str">
        <f>'[1]V, inciso p) (OP)'!X161</f>
        <v>GUM111201IA5</v>
      </c>
      <c r="O336" s="11">
        <f t="shared" si="8"/>
        <v>4673696.32</v>
      </c>
      <c r="P336" s="11">
        <v>4673696.32</v>
      </c>
      <c r="Q336" s="14" t="s">
        <v>766</v>
      </c>
      <c r="R336" s="15">
        <f>O336/1137.6</f>
        <v>4108.3828410689175</v>
      </c>
      <c r="S336" s="7" t="s">
        <v>41</v>
      </c>
      <c r="T336" s="12">
        <v>4144</v>
      </c>
      <c r="U336" s="13" t="s">
        <v>42</v>
      </c>
      <c r="V336" s="43" t="s">
        <v>43</v>
      </c>
      <c r="W336" s="10">
        <v>42868</v>
      </c>
      <c r="X336" s="10">
        <v>42987</v>
      </c>
      <c r="Y336" s="7" t="s">
        <v>722</v>
      </c>
      <c r="Z336" s="7" t="s">
        <v>231</v>
      </c>
      <c r="AA336" s="7" t="s">
        <v>143</v>
      </c>
      <c r="AB336" s="21" t="s">
        <v>2611</v>
      </c>
      <c r="AC336" s="6" t="s">
        <v>2438</v>
      </c>
      <c r="AD336" s="6"/>
    </row>
    <row r="337" spans="1:30" ht="69.95" customHeight="1">
      <c r="A337" s="34">
        <v>52</v>
      </c>
      <c r="B337" s="7">
        <v>2017</v>
      </c>
      <c r="C337" s="7" t="s">
        <v>62</v>
      </c>
      <c r="D337" s="6" t="str">
        <f>'[1]V, inciso o) (OP)'!C184</f>
        <v>DOPI-MUN-RM-IH-AD-052-2017</v>
      </c>
      <c r="E337" s="10">
        <f>'[1]V, inciso o) (OP)'!V184</f>
        <v>42824</v>
      </c>
      <c r="F337" s="32" t="str">
        <f>'[1]V, inciso o) (OP)'!AA184</f>
        <v>Construcción de banquetas, línea de agua potable y drenaje sanitario en la Av. Aviación; Construcción de línea de agua potable en la calle Ocampo de Av. Aviación a calle Independencia, calle Privada Ocampo, calle Privada Solidaridad, en la colonia San Juan de Ocotán, municipio de Zapopan, Jalisco.</v>
      </c>
      <c r="G337" s="6" t="s">
        <v>63</v>
      </c>
      <c r="H337" s="39">
        <v>1484671.02</v>
      </c>
      <c r="I337" s="6" t="s">
        <v>767</v>
      </c>
      <c r="J337" s="6" t="str">
        <f>'[1]V, inciso o) (OP)'!M184</f>
        <v xml:space="preserve">EDUARDO </v>
      </c>
      <c r="K337" s="7" t="str">
        <f>'[1]V, inciso o) (OP)'!N184</f>
        <v>MORA</v>
      </c>
      <c r="L337" s="7" t="str">
        <f>'[1]V, inciso o) (OP)'!O184</f>
        <v>BLACKALLER</v>
      </c>
      <c r="M337" s="6" t="s">
        <v>3134</v>
      </c>
      <c r="N337" s="7" t="str">
        <f>'[1]V, inciso o) (OP)'!Q184</f>
        <v>GCI070523CW4</v>
      </c>
      <c r="O337" s="11">
        <f t="shared" si="8"/>
        <v>1484671.02</v>
      </c>
      <c r="P337" s="11">
        <v>1484670.9200000002</v>
      </c>
      <c r="Q337" s="14" t="s">
        <v>768</v>
      </c>
      <c r="R337" s="15">
        <f>O337/4070</f>
        <v>364.78403439803441</v>
      </c>
      <c r="S337" s="7" t="s">
        <v>41</v>
      </c>
      <c r="T337" s="12">
        <v>3191</v>
      </c>
      <c r="U337" s="13" t="s">
        <v>42</v>
      </c>
      <c r="V337" s="7" t="s">
        <v>43</v>
      </c>
      <c r="W337" s="10">
        <f>'[1]V, inciso o) (OP)'!AD184</f>
        <v>42826</v>
      </c>
      <c r="X337" s="10">
        <f>'[1]V, inciso o) (OP)'!AE184</f>
        <v>42885</v>
      </c>
      <c r="Y337" s="7" t="s">
        <v>769</v>
      </c>
      <c r="Z337" s="7" t="s">
        <v>770</v>
      </c>
      <c r="AA337" s="7" t="s">
        <v>78</v>
      </c>
      <c r="AB337" s="21" t="s">
        <v>1528</v>
      </c>
      <c r="AC337" s="6" t="s">
        <v>2438</v>
      </c>
      <c r="AD337" s="6"/>
    </row>
    <row r="338" spans="1:30" ht="69.95" customHeight="1">
      <c r="A338" s="34">
        <v>53</v>
      </c>
      <c r="B338" s="7">
        <v>2017</v>
      </c>
      <c r="C338" s="7" t="s">
        <v>62</v>
      </c>
      <c r="D338" s="40" t="s">
        <v>3302</v>
      </c>
      <c r="E338" s="10">
        <f>'[1]V, inciso o) (OP)'!V185</f>
        <v>42794</v>
      </c>
      <c r="F338" s="6" t="str">
        <f>'[1]V, inciso o) (OP)'!AA185</f>
        <v>Construcción de bocas de tormenta para prevención de inundaciones y conexión al colector pluvial Jalisco, ubicado en Tesistán, municipio de Zapopan, Jalisco.</v>
      </c>
      <c r="G338" s="6" t="s">
        <v>3322</v>
      </c>
      <c r="H338" s="39">
        <v>771128.46</v>
      </c>
      <c r="I338" s="6" t="s">
        <v>553</v>
      </c>
      <c r="J338" s="6" t="str">
        <f>'[1]V, inciso o) (OP)'!M185</f>
        <v xml:space="preserve">RODOLFO </v>
      </c>
      <c r="K338" s="7" t="str">
        <f>'[1]V, inciso o) (OP)'!N185</f>
        <v xml:space="preserve">VELAZQUEZ </v>
      </c>
      <c r="L338" s="7" t="str">
        <f>'[1]V, inciso o) (OP)'!O185</f>
        <v>ORDOÑEZ</v>
      </c>
      <c r="M338" s="6" t="s">
        <v>3135</v>
      </c>
      <c r="N338" s="7" t="str">
        <f>'[1]V, inciso o) (OP)'!Q185</f>
        <v>VIE110125RL4</v>
      </c>
      <c r="O338" s="11">
        <f t="shared" si="8"/>
        <v>771128.46</v>
      </c>
      <c r="P338" s="11">
        <v>566356.30000000005</v>
      </c>
      <c r="Q338" s="14" t="s">
        <v>771</v>
      </c>
      <c r="R338" s="15">
        <f>O338/157</f>
        <v>4911.6462420382168</v>
      </c>
      <c r="S338" s="7" t="s">
        <v>41</v>
      </c>
      <c r="T338" s="12">
        <v>62891</v>
      </c>
      <c r="U338" s="13" t="s">
        <v>42</v>
      </c>
      <c r="V338" s="7" t="s">
        <v>43</v>
      </c>
      <c r="W338" s="10">
        <f>'[1]V, inciso o) (OP)'!AD185</f>
        <v>42795</v>
      </c>
      <c r="X338" s="10">
        <f>'[1]V, inciso o) (OP)'!AE185</f>
        <v>42855</v>
      </c>
      <c r="Y338" s="7" t="s">
        <v>331</v>
      </c>
      <c r="Z338" s="7" t="s">
        <v>332</v>
      </c>
      <c r="AA338" s="7" t="s">
        <v>116</v>
      </c>
      <c r="AB338" s="21" t="s">
        <v>3285</v>
      </c>
      <c r="AC338" s="6" t="s">
        <v>2438</v>
      </c>
      <c r="AD338" s="6"/>
    </row>
    <row r="339" spans="1:30" ht="69.95" customHeight="1">
      <c r="A339" s="34">
        <v>54</v>
      </c>
      <c r="B339" s="7">
        <v>2017</v>
      </c>
      <c r="C339" s="7" t="s">
        <v>62</v>
      </c>
      <c r="D339" s="40" t="s">
        <v>3303</v>
      </c>
      <c r="E339" s="10">
        <f>'[1]V, inciso o) (OP)'!V186</f>
        <v>42804</v>
      </c>
      <c r="F339" s="6" t="str">
        <f>'[1]V, inciso o) (OP)'!AA186</f>
        <v>Construcción de canal pluvial prefabricado para prevención de inundaciones en la calle J. García Praga, de la calle Jalisco a la calle Ramón Corona, en la localidad de Tesistán, municipio de Zapopan, Jalisco.</v>
      </c>
      <c r="G339" s="6" t="s">
        <v>3322</v>
      </c>
      <c r="H339" s="39">
        <v>518095.34</v>
      </c>
      <c r="I339" s="6" t="s">
        <v>553</v>
      </c>
      <c r="J339" s="6" t="str">
        <f>'[1]V, inciso o) (OP)'!M186</f>
        <v>GUADALUPE ALEJANDRINA</v>
      </c>
      <c r="K339" s="7" t="str">
        <f>'[1]V, inciso o) (OP)'!N186</f>
        <v>MALDONADO</v>
      </c>
      <c r="L339" s="7" t="str">
        <f>'[1]V, inciso o) (OP)'!O186</f>
        <v>LARA</v>
      </c>
      <c r="M339" s="6" t="s">
        <v>3136</v>
      </c>
      <c r="N339" s="7" t="str">
        <f>'[1]V, inciso o) (OP)'!Q186</f>
        <v>LAE1306263B5</v>
      </c>
      <c r="O339" s="11">
        <f t="shared" si="8"/>
        <v>518095.34</v>
      </c>
      <c r="P339" s="11">
        <v>417072.98</v>
      </c>
      <c r="Q339" s="14" t="s">
        <v>772</v>
      </c>
      <c r="R339" s="15">
        <f>O339/823</f>
        <v>629.52046172539497</v>
      </c>
      <c r="S339" s="7" t="s">
        <v>41</v>
      </c>
      <c r="T339" s="12">
        <v>62891</v>
      </c>
      <c r="U339" s="13" t="s">
        <v>42</v>
      </c>
      <c r="V339" s="7" t="s">
        <v>43</v>
      </c>
      <c r="W339" s="10">
        <f>'[1]V, inciso o) (OP)'!AD186</f>
        <v>42809</v>
      </c>
      <c r="X339" s="10">
        <f>'[1]V, inciso o) (OP)'!AE186</f>
        <v>42855</v>
      </c>
      <c r="Y339" s="7" t="s">
        <v>331</v>
      </c>
      <c r="Z339" s="7" t="s">
        <v>332</v>
      </c>
      <c r="AA339" s="7" t="s">
        <v>116</v>
      </c>
      <c r="AB339" s="21" t="s">
        <v>3286</v>
      </c>
      <c r="AC339" s="6" t="s">
        <v>2438</v>
      </c>
      <c r="AD339" s="6"/>
    </row>
    <row r="340" spans="1:30" ht="69.95" customHeight="1">
      <c r="A340" s="34">
        <v>55</v>
      </c>
      <c r="B340" s="7">
        <v>2017</v>
      </c>
      <c r="C340" s="7" t="s">
        <v>62</v>
      </c>
      <c r="D340" s="6" t="str">
        <f>'[1]V, inciso o) (OP)'!C187</f>
        <v>DOPI-MUN-FORTA-BAN-AD-055-2017</v>
      </c>
      <c r="E340" s="10">
        <f>'[1]V, inciso o) (OP)'!V187</f>
        <v>42818</v>
      </c>
      <c r="F340" s="32" t="str">
        <f>'[1]V, inciso o) (OP)'!AA187</f>
        <v>Peatonalización (banquetas y obras de accesibilidad) del área de influencia de las escuelas: Primaria Idolina Gaona Cosío de V. matrícula 14EPR1441B, Primaria Rafael Ramírez matrícula 14DPR3739Z, primaria Antonio Caso y Patria matrícula 14DPR2420X Y primaria Niños Héroes matrícula 14DPR2162Z, municipio de Zapopan, Jalisco.</v>
      </c>
      <c r="G340" s="6" t="s">
        <v>3322</v>
      </c>
      <c r="H340" s="39">
        <v>1450320.18</v>
      </c>
      <c r="I340" s="6" t="s">
        <v>773</v>
      </c>
      <c r="J340" s="6" t="str">
        <f>'[1]V, inciso o) (OP)'!M187</f>
        <v xml:space="preserve">HÉCTOR HUGO </v>
      </c>
      <c r="K340" s="7" t="str">
        <f>'[1]V, inciso o) (OP)'!N187</f>
        <v xml:space="preserve">GUILLÉN </v>
      </c>
      <c r="L340" s="7" t="str">
        <f>'[1]V, inciso o) (OP)'!O187</f>
        <v>GUERRERO</v>
      </c>
      <c r="M340" s="6" t="s">
        <v>3137</v>
      </c>
      <c r="N340" s="7" t="str">
        <f>'[1]V, inciso o) (OP)'!Q187</f>
        <v>CON090306I19</v>
      </c>
      <c r="O340" s="11">
        <f t="shared" si="8"/>
        <v>1450320.18</v>
      </c>
      <c r="P340" s="11">
        <v>1449914.7799999998</v>
      </c>
      <c r="Q340" s="7" t="s">
        <v>774</v>
      </c>
      <c r="R340" s="11">
        <f>O340/6829</f>
        <v>212.37665544003514</v>
      </c>
      <c r="S340" s="7" t="s">
        <v>41</v>
      </c>
      <c r="T340" s="12">
        <v>4228</v>
      </c>
      <c r="U340" s="13" t="s">
        <v>42</v>
      </c>
      <c r="V340" s="7" t="s">
        <v>43</v>
      </c>
      <c r="W340" s="10">
        <f>'[1]V, inciso o) (OP)'!AD187</f>
        <v>42828</v>
      </c>
      <c r="X340" s="10">
        <f>'[1]V, inciso o) (OP)'!AE187</f>
        <v>42886</v>
      </c>
      <c r="Y340" s="7" t="s">
        <v>769</v>
      </c>
      <c r="Z340" s="7" t="s">
        <v>77</v>
      </c>
      <c r="AA340" s="7" t="s">
        <v>78</v>
      </c>
      <c r="AB340" s="21" t="s">
        <v>2612</v>
      </c>
      <c r="AC340" s="6" t="s">
        <v>2438</v>
      </c>
      <c r="AD340" s="6"/>
    </row>
    <row r="341" spans="1:30" ht="69.95" customHeight="1">
      <c r="A341" s="34">
        <v>56</v>
      </c>
      <c r="B341" s="7">
        <v>2017</v>
      </c>
      <c r="C341" s="7" t="s">
        <v>62</v>
      </c>
      <c r="D341" s="6" t="str">
        <f>'[1]V, inciso o) (OP)'!C188</f>
        <v>DOPI-MUN-RM-DS-AD-056-2017</v>
      </c>
      <c r="E341" s="10">
        <f>'[1]V, inciso o) (OP)'!V188</f>
        <v>42842</v>
      </c>
      <c r="F341" s="6" t="str">
        <f>'[1]V, inciso o) (OP)'!AA188</f>
        <v>Construcción de línea de alejamiento de aguas residuales en la lateral de la carretera a Saltillo, de la calle Casiano Torres Poniente a canal pluvial, en la colonia Villa de Guadalupe, municipio de Zapopan, Jalisco.</v>
      </c>
      <c r="G341" s="6" t="s">
        <v>63</v>
      </c>
      <c r="H341" s="39">
        <v>1102435.22</v>
      </c>
      <c r="I341" s="6" t="s">
        <v>553</v>
      </c>
      <c r="J341" s="6" t="str">
        <f>'[1]V, inciso o) (OP)'!M188</f>
        <v>ARTURO</v>
      </c>
      <c r="K341" s="7" t="str">
        <f>'[1]V, inciso o) (OP)'!N188</f>
        <v>RANGEL</v>
      </c>
      <c r="L341" s="7" t="str">
        <f>'[1]V, inciso o) (OP)'!O188</f>
        <v>PAEZ</v>
      </c>
      <c r="M341" s="6" t="s">
        <v>2016</v>
      </c>
      <c r="N341" s="7" t="str">
        <f>'[1]V, inciso o) (OP)'!Q188</f>
        <v>CLA890925ER5</v>
      </c>
      <c r="O341" s="11">
        <f t="shared" si="8"/>
        <v>1102435.22</v>
      </c>
      <c r="P341" s="11">
        <v>984558.25</v>
      </c>
      <c r="Q341" s="7" t="s">
        <v>86</v>
      </c>
      <c r="R341" s="11">
        <f>O341/120</f>
        <v>9186.9601666666658</v>
      </c>
      <c r="S341" s="7" t="s">
        <v>41</v>
      </c>
      <c r="T341" s="12">
        <v>1368</v>
      </c>
      <c r="U341" s="13" t="s">
        <v>42</v>
      </c>
      <c r="V341" s="7" t="s">
        <v>43</v>
      </c>
      <c r="W341" s="10">
        <f>'[1]V, inciso o) (OP)'!AD188</f>
        <v>42842</v>
      </c>
      <c r="X341" s="10">
        <f>'[1]V, inciso o) (OP)'!AE188</f>
        <v>42901</v>
      </c>
      <c r="Y341" s="7" t="s">
        <v>718</v>
      </c>
      <c r="Z341" s="7" t="s">
        <v>332</v>
      </c>
      <c r="AA341" s="7" t="s">
        <v>116</v>
      </c>
      <c r="AB341" s="21" t="s">
        <v>1529</v>
      </c>
      <c r="AC341" s="6" t="s">
        <v>2438</v>
      </c>
      <c r="AD341" s="6"/>
    </row>
    <row r="342" spans="1:30" ht="69.95" customHeight="1">
      <c r="A342" s="34">
        <v>57</v>
      </c>
      <c r="B342" s="7">
        <v>2017</v>
      </c>
      <c r="C342" s="7" t="s">
        <v>62</v>
      </c>
      <c r="D342" s="6" t="str">
        <f>'[1]V, inciso o) (OP)'!C189</f>
        <v>DOPI-MUN-RM-IU-AD-057-2017</v>
      </c>
      <c r="E342" s="10">
        <f>'[1]V, inciso o) (OP)'!V189</f>
        <v>42846</v>
      </c>
      <c r="F342" s="6" t="str">
        <f>'[1]V, inciso o) (OP)'!AA189</f>
        <v>Primera etapa de la renovación de imagen urbana en las localidades de Santa Ana Tepetitlán y San Juan de Ocotán, municipio de Zapopan, Jalisco.</v>
      </c>
      <c r="G342" s="6" t="s">
        <v>63</v>
      </c>
      <c r="H342" s="39">
        <v>955444.17</v>
      </c>
      <c r="I342" s="6" t="s">
        <v>553</v>
      </c>
      <c r="J342" s="6" t="str">
        <f>'[1]V, inciso o) (OP)'!M189</f>
        <v xml:space="preserve">ALEJANDRO LUIS </v>
      </c>
      <c r="K342" s="7" t="str">
        <f>'[1]V, inciso o) (OP)'!N189</f>
        <v xml:space="preserve">VAIDOVITS </v>
      </c>
      <c r="L342" s="7" t="str">
        <f>'[1]V, inciso o) (OP)'!O189</f>
        <v xml:space="preserve"> SCHNURER</v>
      </c>
      <c r="M342" s="6" t="s">
        <v>3076</v>
      </c>
      <c r="N342" s="7" t="str">
        <f>'[1]V, inciso o) (OP)'!Q189</f>
        <v>PME930817EV7</v>
      </c>
      <c r="O342" s="11">
        <f t="shared" si="8"/>
        <v>955444.17</v>
      </c>
      <c r="P342" s="11">
        <v>893038.39999999991</v>
      </c>
      <c r="Q342" s="7" t="s">
        <v>775</v>
      </c>
      <c r="R342" s="11">
        <f>O342/12250</f>
        <v>77.995442448979588</v>
      </c>
      <c r="S342" s="7" t="s">
        <v>41</v>
      </c>
      <c r="T342" s="12">
        <v>7016</v>
      </c>
      <c r="U342" s="13" t="s">
        <v>42</v>
      </c>
      <c r="V342" s="7" t="s">
        <v>43</v>
      </c>
      <c r="W342" s="10">
        <f>'[1]V, inciso o) (OP)'!AD189</f>
        <v>42849</v>
      </c>
      <c r="X342" s="10">
        <f>'[1]V, inciso o) (OP)'!AE189</f>
        <v>42896</v>
      </c>
      <c r="Y342" s="7" t="s">
        <v>718</v>
      </c>
      <c r="Z342" s="7" t="s">
        <v>332</v>
      </c>
      <c r="AA342" s="7" t="s">
        <v>116</v>
      </c>
      <c r="AB342" s="21" t="s">
        <v>1530</v>
      </c>
      <c r="AC342" s="6" t="s">
        <v>2438</v>
      </c>
      <c r="AD342" s="6"/>
    </row>
    <row r="343" spans="1:30" ht="69.95" customHeight="1">
      <c r="A343" s="34">
        <v>58</v>
      </c>
      <c r="B343" s="7">
        <v>2017</v>
      </c>
      <c r="C343" s="7" t="s">
        <v>62</v>
      </c>
      <c r="D343" s="6" t="str">
        <f>'[1]V, inciso o) (OP)'!C190</f>
        <v>DOPI-MUN-RM-IE-AD-058-2017</v>
      </c>
      <c r="E343" s="10">
        <f>'[1]V, inciso o) (OP)'!V190</f>
        <v>42853</v>
      </c>
      <c r="F343" s="32" t="str">
        <f>'[1]V, inciso o) (OP)'!AA190</f>
        <v>Suministro e instalación de red de electrificación en media y baja tensión en las calle Ciprés Italiano, Gigante, Olivo, Eucalipto, Monte Sumae, Puesta del Sol y Prol. 1 de Mayo en la colonia El Zapote I; y en las calles Prol. 1 de Mayo y Puesta del Sol de la colonia Hogares de Nuevo México, municipio de Zapopan, Jalisco.</v>
      </c>
      <c r="G343" s="6" t="s">
        <v>63</v>
      </c>
      <c r="H343" s="39">
        <v>1493490.23</v>
      </c>
      <c r="I343" s="6" t="s">
        <v>776</v>
      </c>
      <c r="J343" s="6" t="str">
        <f>'[1]V, inciso o) (OP)'!M190</f>
        <v xml:space="preserve">HÉCTOR ALEJANDRO </v>
      </c>
      <c r="K343" s="7" t="str">
        <f>'[1]V, inciso o) (OP)'!N190</f>
        <v xml:space="preserve">ORTEGA </v>
      </c>
      <c r="L343" s="7" t="str">
        <f>'[1]V, inciso o) (OP)'!O190</f>
        <v>ROSALES</v>
      </c>
      <c r="M343" s="6" t="s">
        <v>3094</v>
      </c>
      <c r="N343" s="7" t="str">
        <f>'[1]V, inciso o) (OP)'!Q190</f>
        <v>ISS920330811</v>
      </c>
      <c r="O343" s="11">
        <f t="shared" si="8"/>
        <v>1493490.23</v>
      </c>
      <c r="P343" s="11">
        <v>1407606.53</v>
      </c>
      <c r="Q343" s="7" t="s">
        <v>777</v>
      </c>
      <c r="R343" s="11">
        <f>O343/2800</f>
        <v>533.38936785714282</v>
      </c>
      <c r="S343" s="7" t="s">
        <v>41</v>
      </c>
      <c r="T343" s="12">
        <v>1743</v>
      </c>
      <c r="U343" s="13" t="s">
        <v>42</v>
      </c>
      <c r="V343" s="43" t="s">
        <v>43</v>
      </c>
      <c r="W343" s="10">
        <f>'[1]V, inciso o) (OP)'!AD190</f>
        <v>42857</v>
      </c>
      <c r="X343" s="10">
        <f>'[1]V, inciso o) (OP)'!AE190</f>
        <v>42916</v>
      </c>
      <c r="Y343" s="7" t="s">
        <v>705</v>
      </c>
      <c r="Z343" s="7" t="s">
        <v>138</v>
      </c>
      <c r="AA343" s="7" t="s">
        <v>130</v>
      </c>
      <c r="AB343" s="21" t="s">
        <v>2295</v>
      </c>
      <c r="AC343" s="6" t="s">
        <v>2438</v>
      </c>
      <c r="AD343" s="6"/>
    </row>
    <row r="344" spans="1:30" ht="69.95" customHeight="1">
      <c r="A344" s="34">
        <v>59</v>
      </c>
      <c r="B344" s="7">
        <v>2017</v>
      </c>
      <c r="C344" s="7" t="s">
        <v>62</v>
      </c>
      <c r="D344" s="6" t="str">
        <f>'[1]V, inciso o) (OP)'!C191</f>
        <v>DOPI-MUN-FORTA-ID-AD-059-2017</v>
      </c>
      <c r="E344" s="10">
        <f>'[1]V, inciso o) (OP)'!V191</f>
        <v>42846</v>
      </c>
      <c r="F344" s="6" t="str">
        <f>'[1]V, inciso o) (OP)'!AA191</f>
        <v>Construcción de Andadores, Recubrimientos y Acabados en la Unidad Deportiva Paseos del Briseño Municipio de Zapopan, Jalisco.</v>
      </c>
      <c r="G344" s="6" t="s">
        <v>3322</v>
      </c>
      <c r="H344" s="39">
        <v>1477840.24</v>
      </c>
      <c r="I344" s="6" t="s">
        <v>778</v>
      </c>
      <c r="J344" s="6" t="str">
        <f>'[1]V, inciso o) (OP)'!M191</f>
        <v xml:space="preserve">EDUARDO </v>
      </c>
      <c r="K344" s="7" t="str">
        <f>'[1]V, inciso o) (OP)'!N191</f>
        <v>MERCADO</v>
      </c>
      <c r="L344" s="7" t="str">
        <f>'[1]V, inciso o) (OP)'!O191</f>
        <v>VAZQUEZ</v>
      </c>
      <c r="M344" s="6" t="s">
        <v>2270</v>
      </c>
      <c r="N344" s="7" t="str">
        <f>'[1]V, inciso o) (OP)'!Q191</f>
        <v>ANI1102217W2</v>
      </c>
      <c r="O344" s="11">
        <f t="shared" si="8"/>
        <v>1477840.24</v>
      </c>
      <c r="P344" s="11">
        <v>1477840.1300000001</v>
      </c>
      <c r="Q344" s="7" t="s">
        <v>779</v>
      </c>
      <c r="R344" s="11">
        <f>O344/2492</f>
        <v>593.03380417335472</v>
      </c>
      <c r="S344" s="7" t="s">
        <v>41</v>
      </c>
      <c r="T344" s="12">
        <v>4159</v>
      </c>
      <c r="U344" s="13" t="s">
        <v>42</v>
      </c>
      <c r="V344" s="7" t="s">
        <v>43</v>
      </c>
      <c r="W344" s="10">
        <f>'[1]V, inciso o) (OP)'!AD191</f>
        <v>42849</v>
      </c>
      <c r="X344" s="10">
        <f>'[1]V, inciso o) (OP)'!AE191</f>
        <v>42946</v>
      </c>
      <c r="Y344" s="7" t="s">
        <v>780</v>
      </c>
      <c r="Z344" s="7" t="s">
        <v>730</v>
      </c>
      <c r="AA344" s="7" t="s">
        <v>781</v>
      </c>
      <c r="AB344" s="21" t="s">
        <v>1531</v>
      </c>
      <c r="AC344" s="6" t="s">
        <v>2438</v>
      </c>
      <c r="AD344" s="6"/>
    </row>
    <row r="345" spans="1:30" ht="69.95" customHeight="1">
      <c r="A345" s="34">
        <v>60</v>
      </c>
      <c r="B345" s="7">
        <v>2017</v>
      </c>
      <c r="C345" s="7" t="s">
        <v>62</v>
      </c>
      <c r="D345" s="6" t="str">
        <f>'[1]V, inciso o) (OP)'!C192</f>
        <v>DOPI-MUN-FORTA-SERV-AD-060-2017</v>
      </c>
      <c r="E345" s="10">
        <f>'[1]V, inciso o) (OP)'!V192</f>
        <v>42825</v>
      </c>
      <c r="F345" s="6" t="str">
        <f>'[1]V, inciso o) (OP)'!AA192</f>
        <v>Control de calidad de diferentes obras 2017 del municipio de Zapopan, Jalisco, etapa 2.</v>
      </c>
      <c r="G345" s="6" t="s">
        <v>3322</v>
      </c>
      <c r="H345" s="39">
        <v>996523.74</v>
      </c>
      <c r="I345" s="6" t="s">
        <v>120</v>
      </c>
      <c r="J345" s="6" t="str">
        <f>'[1]V, inciso o) (OP)'!M192</f>
        <v>JOSE ALEJANDRO</v>
      </c>
      <c r="K345" s="7" t="str">
        <f>'[1]V, inciso o) (OP)'!N192</f>
        <v>ALVA</v>
      </c>
      <c r="L345" s="7" t="str">
        <f>'[1]V, inciso o) (OP)'!O192</f>
        <v>DELGADO</v>
      </c>
      <c r="M345" s="6" t="s">
        <v>3138</v>
      </c>
      <c r="N345" s="7" t="str">
        <f>'[1]V, inciso o) (OP)'!Q192</f>
        <v>SOC150806E69</v>
      </c>
      <c r="O345" s="11">
        <f t="shared" si="8"/>
        <v>996523.74</v>
      </c>
      <c r="P345" s="11">
        <v>995990.27</v>
      </c>
      <c r="Q345" s="7" t="s">
        <v>120</v>
      </c>
      <c r="R345" s="11" t="s">
        <v>120</v>
      </c>
      <c r="S345" s="7" t="s">
        <v>121</v>
      </c>
      <c r="T345" s="12" t="s">
        <v>121</v>
      </c>
      <c r="U345" s="13" t="s">
        <v>42</v>
      </c>
      <c r="V345" s="43" t="s">
        <v>43</v>
      </c>
      <c r="W345" s="10">
        <f>'[1]V, inciso o) (OP)'!AD192</f>
        <v>42828</v>
      </c>
      <c r="X345" s="10">
        <f>'[1]V, inciso o) (OP)'!AE192</f>
        <v>43008</v>
      </c>
      <c r="Y345" s="7" t="s">
        <v>402</v>
      </c>
      <c r="Z345" s="7" t="s">
        <v>403</v>
      </c>
      <c r="AA345" s="7" t="s">
        <v>104</v>
      </c>
      <c r="AB345" s="21" t="s">
        <v>2296</v>
      </c>
      <c r="AC345" s="6" t="s">
        <v>2438</v>
      </c>
      <c r="AD345" s="6"/>
    </row>
    <row r="346" spans="1:30" ht="69.95" customHeight="1">
      <c r="A346" s="34">
        <v>61</v>
      </c>
      <c r="B346" s="7">
        <v>2017</v>
      </c>
      <c r="C346" s="7" t="s">
        <v>62</v>
      </c>
      <c r="D346" s="6" t="str">
        <f>'[1]V, inciso o) (OP)'!C193</f>
        <v>DOPI-MUN-RM-PAV-AD-061-2017</v>
      </c>
      <c r="E346" s="10">
        <f>'[1]V, inciso o) (OP)'!V193</f>
        <v>42874</v>
      </c>
      <c r="F346" s="32" t="str">
        <f>'[1]V, inciso o) (OP)'!AA193</f>
        <v>Construcción de pavimento de concreto hidráulico, incluye: agua potable, alcantarillado, guarniciones, banquetas, accesibilidad y servicios complementarios en la Calle Loma del Sol, de Calle Loma Real a Calle Loma del Valle, Colonia Loma Chica Municipio de Zapopan, Jalisco.</v>
      </c>
      <c r="G346" s="6" t="s">
        <v>63</v>
      </c>
      <c r="H346" s="39">
        <v>1510227.11</v>
      </c>
      <c r="I346" s="6" t="s">
        <v>782</v>
      </c>
      <c r="J346" s="6" t="str">
        <f>'[1]V, inciso o) (OP)'!M193</f>
        <v>HECTOR EUGENIO</v>
      </c>
      <c r="K346" s="7" t="str">
        <f>'[1]V, inciso o) (OP)'!N193</f>
        <v>DE LA TORRE</v>
      </c>
      <c r="L346" s="7" t="str">
        <f>'[1]V, inciso o) (OP)'!O193</f>
        <v>MENCHACA</v>
      </c>
      <c r="M346" s="6" t="s">
        <v>3139</v>
      </c>
      <c r="N346" s="7" t="str">
        <f>'[1]V, inciso o) (OP)'!Q193</f>
        <v>ITO951005HY5</v>
      </c>
      <c r="O346" s="11">
        <f t="shared" si="8"/>
        <v>1510227.11</v>
      </c>
      <c r="P346" s="11">
        <v>1438877.36</v>
      </c>
      <c r="Q346" s="7" t="s">
        <v>598</v>
      </c>
      <c r="R346" s="11">
        <f>O346/1035</f>
        <v>1459.1566280193238</v>
      </c>
      <c r="S346" s="7" t="s">
        <v>41</v>
      </c>
      <c r="T346" s="12">
        <v>1166</v>
      </c>
      <c r="U346" s="13" t="s">
        <v>42</v>
      </c>
      <c r="V346" s="43" t="s">
        <v>43</v>
      </c>
      <c r="W346" s="10">
        <f>'[1]V, inciso o) (OP)'!AD193</f>
        <v>42877</v>
      </c>
      <c r="X346" s="10">
        <f>'[1]V, inciso o) (OP)'!AE193</f>
        <v>42872</v>
      </c>
      <c r="Y346" s="7" t="s">
        <v>331</v>
      </c>
      <c r="Z346" s="7" t="s">
        <v>332</v>
      </c>
      <c r="AA346" s="7" t="s">
        <v>116</v>
      </c>
      <c r="AB346" s="21" t="s">
        <v>1532</v>
      </c>
      <c r="AC346" s="6" t="s">
        <v>2438</v>
      </c>
      <c r="AD346" s="6"/>
    </row>
    <row r="347" spans="1:30" ht="69.95" customHeight="1">
      <c r="A347" s="34">
        <v>62</v>
      </c>
      <c r="B347" s="7">
        <v>2017</v>
      </c>
      <c r="C347" s="7" t="s">
        <v>62</v>
      </c>
      <c r="D347" s="6" t="str">
        <f>'[1]V, inciso o) (OP)'!C194</f>
        <v>DOPI-MUN-RM-PAV-AD-062-2017</v>
      </c>
      <c r="E347" s="10">
        <f>'[1]V, inciso o) (OP)'!V194</f>
        <v>42874</v>
      </c>
      <c r="F347" s="32" t="str">
        <f>'[1]V, inciso o) (OP)'!AA194</f>
        <v>Construcción de pavimento de concreto hidráulico, incluye: agua potable, alcantarillado, guarniciones, banquetas, accesibilidad y servicios complementarios en la Calle María Perfecta Llamas de Calle Lucio Martínez a Calle Febronio Lara, Colonia Villa de Guadalupe, Municipio de Zapopan, Jalisco.</v>
      </c>
      <c r="G347" s="6" t="s">
        <v>63</v>
      </c>
      <c r="H347" s="39">
        <v>1496365.17</v>
      </c>
      <c r="I347" s="6" t="s">
        <v>783</v>
      </c>
      <c r="J347" s="6" t="str">
        <f>'[1]V, inciso o) (OP)'!M194</f>
        <v>ALBERTO</v>
      </c>
      <c r="K347" s="7" t="str">
        <f>'[1]V, inciso o) (OP)'!N194</f>
        <v>BAÑUELOS</v>
      </c>
      <c r="L347" s="7" t="str">
        <f>'[1]V, inciso o) (OP)'!O194</f>
        <v>GARCIA</v>
      </c>
      <c r="M347" s="6" t="s">
        <v>2143</v>
      </c>
      <c r="N347" s="7" t="str">
        <f>'[1]V, inciso o) (OP)'!Q194</f>
        <v>GCO100226SU6</v>
      </c>
      <c r="O347" s="11">
        <f t="shared" si="8"/>
        <v>1496365.17</v>
      </c>
      <c r="P347" s="11">
        <v>1496364.17</v>
      </c>
      <c r="Q347" s="7" t="s">
        <v>784</v>
      </c>
      <c r="R347" s="11">
        <f>O347/1029</f>
        <v>1454.1935568513118</v>
      </c>
      <c r="S347" s="7" t="s">
        <v>41</v>
      </c>
      <c r="T347" s="12">
        <v>1543</v>
      </c>
      <c r="U347" s="13" t="s">
        <v>42</v>
      </c>
      <c r="V347" s="7" t="s">
        <v>43</v>
      </c>
      <c r="W347" s="10">
        <f>'[1]V, inciso o) (OP)'!AD194</f>
        <v>42877</v>
      </c>
      <c r="X347" s="10">
        <f>'[1]V, inciso o) (OP)'!AE194</f>
        <v>42993</v>
      </c>
      <c r="Y347" s="7" t="s">
        <v>431</v>
      </c>
      <c r="Z347" s="7" t="s">
        <v>181</v>
      </c>
      <c r="AA347" s="7" t="s">
        <v>89</v>
      </c>
      <c r="AB347" s="21" t="s">
        <v>1533</v>
      </c>
      <c r="AC347" s="6" t="s">
        <v>2438</v>
      </c>
      <c r="AD347" s="6"/>
    </row>
    <row r="348" spans="1:30" ht="69.95" customHeight="1">
      <c r="A348" s="34">
        <v>63</v>
      </c>
      <c r="B348" s="7">
        <v>2017</v>
      </c>
      <c r="C348" s="6" t="s">
        <v>31</v>
      </c>
      <c r="D348" s="6" t="str">
        <f>'[1]V, inciso p) (OP)'!D162</f>
        <v>DOPI-FED-FORTALECE-PAV-LP-063-2017</v>
      </c>
      <c r="E348" s="10">
        <f>'[1]V, inciso p) (OP)'!AD162</f>
        <v>42929</v>
      </c>
      <c r="F348" s="6" t="str">
        <f>'[1]V, inciso p) (OP)'!AL162</f>
        <v>Construcción de la calle Boulevard del Rodeo con concreto hidráulico tramo 1, en las colonias Laureles y Rinconada de la Azalea, en el municipio de Zapopan, Jalisco.</v>
      </c>
      <c r="G348" s="6" t="s">
        <v>3323</v>
      </c>
      <c r="H348" s="39">
        <v>9646602.25</v>
      </c>
      <c r="I348" s="6" t="str">
        <f>'[1]V, inciso p) (OP)'!AS162</f>
        <v>Colonias Laureles y Rinconada de la Azalea</v>
      </c>
      <c r="J348" s="6" t="str">
        <f>'[1]V, inciso p) (OP)'!T162</f>
        <v>ORNELLA CAROLINA</v>
      </c>
      <c r="K348" s="6" t="str">
        <f>'[1]V, inciso p) (OP)'!U162</f>
        <v>LEGASPI</v>
      </c>
      <c r="L348" s="6" t="str">
        <f>'[1]V, inciso p) (OP)'!V162</f>
        <v>MUÑOZ</v>
      </c>
      <c r="M348" s="6" t="s">
        <v>3140</v>
      </c>
      <c r="N348" s="6" t="str">
        <f>'[1]V, inciso p) (OP)'!X162</f>
        <v>TEM141021N31</v>
      </c>
      <c r="O348" s="11">
        <f t="shared" si="8"/>
        <v>9646602.25</v>
      </c>
      <c r="P348" s="11">
        <v>9646602.2000000011</v>
      </c>
      <c r="Q348" s="14" t="s">
        <v>785</v>
      </c>
      <c r="R348" s="15">
        <f>O348/5110</f>
        <v>1887.7890900195696</v>
      </c>
      <c r="S348" s="7" t="s">
        <v>41</v>
      </c>
      <c r="T348" s="12">
        <v>9874</v>
      </c>
      <c r="U348" s="13" t="s">
        <v>42</v>
      </c>
      <c r="V348" s="7" t="s">
        <v>43</v>
      </c>
      <c r="W348" s="10">
        <v>42929</v>
      </c>
      <c r="X348" s="10">
        <v>43078</v>
      </c>
      <c r="Y348" s="7" t="s">
        <v>402</v>
      </c>
      <c r="Z348" s="7" t="s">
        <v>715</v>
      </c>
      <c r="AA348" s="7" t="s">
        <v>311</v>
      </c>
      <c r="AB348" s="21" t="s">
        <v>2613</v>
      </c>
      <c r="AC348" s="6" t="s">
        <v>2438</v>
      </c>
      <c r="AD348" s="7"/>
    </row>
    <row r="349" spans="1:30" ht="69.95" customHeight="1">
      <c r="A349" s="34">
        <v>64</v>
      </c>
      <c r="B349" s="7">
        <v>2017</v>
      </c>
      <c r="C349" s="6" t="s">
        <v>31</v>
      </c>
      <c r="D349" s="6" t="str">
        <f>'[1]V, inciso p) (OP)'!D163</f>
        <v>DOPI-FED-FORTALECE-PAV-LP-064-2017</v>
      </c>
      <c r="E349" s="10">
        <f>'[1]V, inciso p) (OP)'!AD163</f>
        <v>42929</v>
      </c>
      <c r="F349" s="6" t="str">
        <f>'[1]V, inciso p) (OP)'!AL163</f>
        <v>Construcción de la calle Boulevard del Rodeo con concreto hidráulico tramo 2, en las colonias Laureles, El Vigía, Rinconada de la Azalea, en el municipio de Zapopan, Jalisco.</v>
      </c>
      <c r="G349" s="6" t="s">
        <v>3323</v>
      </c>
      <c r="H349" s="39">
        <v>9551993.8900000006</v>
      </c>
      <c r="I349" s="6" t="str">
        <f>'[1]V, inciso p) (OP)'!AS163</f>
        <v>Colonias Laureles, El Vigía, Rinconada de la Azalea</v>
      </c>
      <c r="J349" s="6" t="str">
        <f>'[1]V, inciso p) (OP)'!T163</f>
        <v>ARTURO</v>
      </c>
      <c r="K349" s="6" t="str">
        <f>'[1]V, inciso p) (OP)'!U163</f>
        <v>SARMIENTO</v>
      </c>
      <c r="L349" s="6" t="str">
        <f>'[1]V, inciso p) (OP)'!V163</f>
        <v>SANCHEZ</v>
      </c>
      <c r="M349" s="6" t="s">
        <v>2068</v>
      </c>
      <c r="N349" s="6" t="str">
        <f>'[1]V, inciso p) (OP)'!X163</f>
        <v>CON020208696</v>
      </c>
      <c r="O349" s="11">
        <f t="shared" si="8"/>
        <v>9551993.8900000006</v>
      </c>
      <c r="P349" s="11">
        <v>9551993.8900000006</v>
      </c>
      <c r="Q349" s="14" t="s">
        <v>786</v>
      </c>
      <c r="R349" s="15">
        <f>O349/1780</f>
        <v>5366.2887022471914</v>
      </c>
      <c r="S349" s="7" t="s">
        <v>41</v>
      </c>
      <c r="T349" s="12">
        <v>9874</v>
      </c>
      <c r="U349" s="13" t="s">
        <v>42</v>
      </c>
      <c r="V349" s="7" t="s">
        <v>43</v>
      </c>
      <c r="W349" s="10">
        <v>42929</v>
      </c>
      <c r="X349" s="10">
        <v>43078</v>
      </c>
      <c r="Y349" s="7" t="s">
        <v>402</v>
      </c>
      <c r="Z349" s="7" t="s">
        <v>715</v>
      </c>
      <c r="AA349" s="7" t="s">
        <v>311</v>
      </c>
      <c r="AB349" s="21" t="s">
        <v>2614</v>
      </c>
      <c r="AC349" s="6" t="s">
        <v>2438</v>
      </c>
      <c r="AD349" s="7"/>
    </row>
    <row r="350" spans="1:30" ht="69.95" customHeight="1">
      <c r="A350" s="34">
        <v>65</v>
      </c>
      <c r="B350" s="7">
        <v>2017</v>
      </c>
      <c r="C350" s="6" t="s">
        <v>31</v>
      </c>
      <c r="D350" s="6" t="str">
        <f>'[1]V, inciso p) (OP)'!D164</f>
        <v>DOPI-FED-FORTALECE-PAV-LP-065-2017</v>
      </c>
      <c r="E350" s="10">
        <f>'[1]V, inciso p) (OP)'!AD164</f>
        <v>42929</v>
      </c>
      <c r="F350" s="6" t="str">
        <f>'[1]V, inciso p) (OP)'!AL164</f>
        <v>Construcción de la calle Francisco Villa con concreto hidráulico de calle Abasolo a calle Emiliano Zapata, en la Zona de Santa Ana Tepetitlán (Segunda Etapa), en el municipio de Zapopan, Jalisco.</v>
      </c>
      <c r="G350" s="6" t="s">
        <v>3324</v>
      </c>
      <c r="H350" s="39">
        <v>5043900</v>
      </c>
      <c r="I350" s="6" t="str">
        <f>'[1]V, inciso p) (OP)'!AS164</f>
        <v>Santa Ana Tepetitlán</v>
      </c>
      <c r="J350" s="6" t="str">
        <f>'[1]V, inciso p) (OP)'!T164</f>
        <v>J. GERARDO</v>
      </c>
      <c r="K350" s="6" t="str">
        <f>'[1]V, inciso p) (OP)'!U164</f>
        <v>NICANOR</v>
      </c>
      <c r="L350" s="6" t="str">
        <f>'[1]V, inciso p) (OP)'!V164</f>
        <v>MEJIA MARISCAL</v>
      </c>
      <c r="M350" s="6" t="s">
        <v>1886</v>
      </c>
      <c r="N350" s="6" t="str">
        <f>'[1]V, inciso p) (OP)'!X164</f>
        <v>ICO980722M04</v>
      </c>
      <c r="O350" s="11">
        <f t="shared" si="8"/>
        <v>5043900</v>
      </c>
      <c r="P350" s="11">
        <v>5043900</v>
      </c>
      <c r="Q350" s="14" t="s">
        <v>787</v>
      </c>
      <c r="R350" s="15">
        <f>O350/2124</f>
        <v>2374.7175141242938</v>
      </c>
      <c r="S350" s="7" t="s">
        <v>41</v>
      </c>
      <c r="T350" s="12">
        <v>3946</v>
      </c>
      <c r="U350" s="13" t="s">
        <v>42</v>
      </c>
      <c r="V350" s="43" t="s">
        <v>43</v>
      </c>
      <c r="W350" s="10">
        <v>42929</v>
      </c>
      <c r="X350" s="10">
        <v>43048</v>
      </c>
      <c r="Y350" s="7" t="s">
        <v>722</v>
      </c>
      <c r="Z350" s="7" t="s">
        <v>231</v>
      </c>
      <c r="AA350" s="7" t="s">
        <v>143</v>
      </c>
      <c r="AB350" s="21" t="s">
        <v>2615</v>
      </c>
      <c r="AC350" s="6" t="s">
        <v>2438</v>
      </c>
      <c r="AD350" s="6"/>
    </row>
    <row r="351" spans="1:30" ht="69.95" customHeight="1">
      <c r="A351" s="34">
        <v>66</v>
      </c>
      <c r="B351" s="7">
        <v>2017</v>
      </c>
      <c r="C351" s="6" t="s">
        <v>31</v>
      </c>
      <c r="D351" s="6" t="str">
        <f>'[1]V, inciso p) (OP)'!D165</f>
        <v>DOPI-FED-FORTALECE-PAV-LP-066-2017</v>
      </c>
      <c r="E351" s="10">
        <f>'[1]V, inciso p) (OP)'!AD165</f>
        <v>42929</v>
      </c>
      <c r="F351" s="6" t="str">
        <f>'[1]V, inciso p) (OP)'!AL165</f>
        <v>Construcción de la calle Plata con concreto hidráulico de calle Estaño a Av. Juan Pablo II, en la Zona de San José del Bajío, en el municipio de Zapopan, Jalisco.</v>
      </c>
      <c r="G351" s="6" t="s">
        <v>3323</v>
      </c>
      <c r="H351" s="39">
        <v>8406500</v>
      </c>
      <c r="I351" s="6" t="str">
        <f>'[1]V, inciso p) (OP)'!AS165</f>
        <v>San José del Bajío</v>
      </c>
      <c r="J351" s="6" t="str">
        <f>'[1]V, inciso p) (OP)'!T165</f>
        <v>J. GERARDO</v>
      </c>
      <c r="K351" s="6" t="str">
        <f>'[1]V, inciso p) (OP)'!U165</f>
        <v>NICANOR</v>
      </c>
      <c r="L351" s="6" t="str">
        <f>'[1]V, inciso p) (OP)'!V165</f>
        <v>MEJIA MARISCAL</v>
      </c>
      <c r="M351" s="6" t="s">
        <v>1886</v>
      </c>
      <c r="N351" s="6" t="str">
        <f>'[1]V, inciso p) (OP)'!X165</f>
        <v>ICO980722M04</v>
      </c>
      <c r="O351" s="11">
        <f t="shared" si="8"/>
        <v>8406500</v>
      </c>
      <c r="P351" s="11">
        <v>8406500</v>
      </c>
      <c r="Q351" s="14" t="s">
        <v>788</v>
      </c>
      <c r="R351" s="15">
        <f>O351/3690</f>
        <v>2278.1842818428186</v>
      </c>
      <c r="S351" s="7" t="s">
        <v>41</v>
      </c>
      <c r="T351" s="12">
        <v>4431</v>
      </c>
      <c r="U351" s="13" t="s">
        <v>42</v>
      </c>
      <c r="V351" s="43" t="s">
        <v>43</v>
      </c>
      <c r="W351" s="10">
        <v>42929</v>
      </c>
      <c r="X351" s="10">
        <v>43078</v>
      </c>
      <c r="Y351" s="7" t="s">
        <v>402</v>
      </c>
      <c r="Z351" s="7" t="s">
        <v>715</v>
      </c>
      <c r="AA351" s="7" t="s">
        <v>311</v>
      </c>
      <c r="AB351" s="21" t="s">
        <v>2616</v>
      </c>
      <c r="AC351" s="6" t="s">
        <v>2438</v>
      </c>
      <c r="AD351" s="6"/>
    </row>
    <row r="352" spans="1:30" ht="69.95" customHeight="1">
      <c r="A352" s="34">
        <v>67</v>
      </c>
      <c r="B352" s="7">
        <v>2017</v>
      </c>
      <c r="C352" s="7" t="s">
        <v>62</v>
      </c>
      <c r="D352" s="6" t="str">
        <f>'[1]V, inciso o) (OP)'!C195</f>
        <v>DOPI-MUN-FORTA-EP-AD-067-2017</v>
      </c>
      <c r="E352" s="10">
        <f>'[1]V, inciso o) (OP)'!V195</f>
        <v>42879</v>
      </c>
      <c r="F352" s="6" t="str">
        <f>'[1]V, inciso o) (OP)'!AA195</f>
        <v>Instalación de reja de acero, reubicación de mobiliario existente y trabajos de adecuación en el estanque de retención de aguas pluviales en Santa María del Pueblito, municipio de Zapopan, Jalisco.</v>
      </c>
      <c r="G352" s="6" t="s">
        <v>3322</v>
      </c>
      <c r="H352" s="39">
        <v>1325750.33</v>
      </c>
      <c r="I352" s="6" t="s">
        <v>789</v>
      </c>
      <c r="J352" s="6" t="str">
        <f>'[1]V, inciso o) (OP)'!M195</f>
        <v>HECTOR ANDRES</v>
      </c>
      <c r="K352" s="7" t="str">
        <f>'[1]V, inciso o) (OP)'!N195</f>
        <v>VALADES</v>
      </c>
      <c r="L352" s="7" t="str">
        <f>'[1]V, inciso o) (OP)'!O195</f>
        <v>SANCHEZ</v>
      </c>
      <c r="M352" s="6" t="s">
        <v>3141</v>
      </c>
      <c r="N352" s="7" t="str">
        <f>'[1]V, inciso o) (OP)'!Q195</f>
        <v>CON130531FB8</v>
      </c>
      <c r="O352" s="11">
        <f t="shared" si="8"/>
        <v>1325750.33</v>
      </c>
      <c r="P352" s="11">
        <v>1325708.29</v>
      </c>
      <c r="Q352" s="7" t="s">
        <v>790</v>
      </c>
      <c r="R352" s="11">
        <f>O352/500</f>
        <v>2651.5006600000002</v>
      </c>
      <c r="S352" s="7" t="s">
        <v>41</v>
      </c>
      <c r="T352" s="12">
        <v>1332272</v>
      </c>
      <c r="U352" s="13" t="s">
        <v>42</v>
      </c>
      <c r="V352" s="7" t="s">
        <v>43</v>
      </c>
      <c r="W352" s="10">
        <f>'[1]V, inciso o) (OP)'!AD195</f>
        <v>42880</v>
      </c>
      <c r="X352" s="10">
        <f>'[1]V, inciso o) (OP)'!AE195</f>
        <v>42916</v>
      </c>
      <c r="Y352" s="7" t="s">
        <v>462</v>
      </c>
      <c r="Z352" s="7" t="s">
        <v>310</v>
      </c>
      <c r="AA352" s="7" t="s">
        <v>130</v>
      </c>
      <c r="AB352" s="21" t="s">
        <v>2617</v>
      </c>
      <c r="AC352" s="6" t="s">
        <v>2438</v>
      </c>
      <c r="AD352" s="6"/>
    </row>
    <row r="353" spans="1:30" ht="69.95" customHeight="1">
      <c r="A353" s="34">
        <v>68</v>
      </c>
      <c r="B353" s="7">
        <v>2017</v>
      </c>
      <c r="C353" s="7" t="s">
        <v>62</v>
      </c>
      <c r="D353" s="6" t="str">
        <f>'[1]V, inciso o) (OP)'!C196</f>
        <v>DOPI-MUN-FORTA-ID-AD-068-2017</v>
      </c>
      <c r="E353" s="10">
        <f>'[1]V, inciso o) (OP)'!V196</f>
        <v>42867</v>
      </c>
      <c r="F353" s="6" t="str">
        <f>'[1]V, inciso o) (OP)'!AA196</f>
        <v>Rehabilitación de infraestructura de servicios en el Centro Acuático Zapopan, Unidad Deportiva Francisco Villa y en la Unidad Deportiva Base Aérea, municipio de Zapopan, Jalisco.</v>
      </c>
      <c r="G353" s="6" t="s">
        <v>3322</v>
      </c>
      <c r="H353" s="39">
        <v>1491328.97</v>
      </c>
      <c r="I353" s="6" t="s">
        <v>791</v>
      </c>
      <c r="J353" s="6" t="str">
        <f>'[1]V, inciso o) (OP)'!M196</f>
        <v>OSCAR LUIS</v>
      </c>
      <c r="K353" s="7" t="str">
        <f>'[1]V, inciso o) (OP)'!N196</f>
        <v>CHAVEZ</v>
      </c>
      <c r="L353" s="7" t="str">
        <f>'[1]V, inciso o) (OP)'!O196</f>
        <v>GONZALEZ</v>
      </c>
      <c r="M353" s="6" t="s">
        <v>3077</v>
      </c>
      <c r="N353" s="7" t="str">
        <f>'[1]V, inciso o) (OP)'!Q196</f>
        <v>ETR070417NS8</v>
      </c>
      <c r="O353" s="11">
        <f t="shared" ref="O353:O416" si="9">H353</f>
        <v>1491328.97</v>
      </c>
      <c r="P353" s="11">
        <v>1337814.79</v>
      </c>
      <c r="Q353" s="7" t="s">
        <v>792</v>
      </c>
      <c r="R353" s="11">
        <f>O353/6</f>
        <v>248554.82833333334</v>
      </c>
      <c r="S353" s="7" t="s">
        <v>41</v>
      </c>
      <c r="T353" s="12">
        <v>1432</v>
      </c>
      <c r="U353" s="13" t="s">
        <v>42</v>
      </c>
      <c r="V353" s="7" t="s">
        <v>43</v>
      </c>
      <c r="W353" s="10">
        <f>'[1]V, inciso o) (OP)'!AD196</f>
        <v>42870</v>
      </c>
      <c r="X353" s="10">
        <f>'[1]V, inciso o) (OP)'!AE196</f>
        <v>42940</v>
      </c>
      <c r="Y353" s="7" t="s">
        <v>446</v>
      </c>
      <c r="Z353" s="7" t="s">
        <v>447</v>
      </c>
      <c r="AA353" s="7" t="s">
        <v>448</v>
      </c>
      <c r="AB353" s="21" t="s">
        <v>1534</v>
      </c>
      <c r="AC353" s="6" t="s">
        <v>2438</v>
      </c>
      <c r="AD353" s="6"/>
    </row>
    <row r="354" spans="1:30" ht="69.95" customHeight="1">
      <c r="A354" s="34">
        <v>69</v>
      </c>
      <c r="B354" s="7">
        <v>2017</v>
      </c>
      <c r="C354" s="7" t="s">
        <v>62</v>
      </c>
      <c r="D354" s="6" t="str">
        <f>'[1]V, inciso o) (OP)'!C197</f>
        <v>DOPI-MUN-FORTA-CONT-AD-069-2017</v>
      </c>
      <c r="E354" s="10">
        <f>'[1]V, inciso o) (OP)'!V197</f>
        <v>42881</v>
      </c>
      <c r="F354" s="6" t="str">
        <f>'[1]V, inciso o) (OP)'!AA197</f>
        <v>Obras de prevención de inundaciones en la calle Privada Guayabitos, colonia Lomas de Tabachines, municipio de Zapopan, Jalisco.</v>
      </c>
      <c r="G354" s="6" t="s">
        <v>3322</v>
      </c>
      <c r="H354" s="39">
        <v>622364.78</v>
      </c>
      <c r="I354" s="6" t="s">
        <v>793</v>
      </c>
      <c r="J354" s="6" t="str">
        <f>'[1]V, inciso o) (OP)'!M197</f>
        <v>JOSE</v>
      </c>
      <c r="K354" s="7" t="str">
        <f>'[1]V, inciso o) (OP)'!N197</f>
        <v xml:space="preserve">GUILLEN </v>
      </c>
      <c r="L354" s="7" t="str">
        <f>'[1]V, inciso o) (OP)'!O197</f>
        <v xml:space="preserve">DIAZ  </v>
      </c>
      <c r="M354" s="6" t="s">
        <v>3142</v>
      </c>
      <c r="N354" s="7" t="str">
        <f>'[1]V, inciso o) (OP)'!Q197</f>
        <v>SPC050127BR0</v>
      </c>
      <c r="O354" s="11">
        <f t="shared" si="9"/>
        <v>622364.78</v>
      </c>
      <c r="P354" s="11">
        <v>622364.79</v>
      </c>
      <c r="Q354" s="7" t="s">
        <v>794</v>
      </c>
      <c r="R354" s="11">
        <f>O354/960</f>
        <v>648.2966458333334</v>
      </c>
      <c r="S354" s="7" t="s">
        <v>41</v>
      </c>
      <c r="T354" s="12">
        <v>1594</v>
      </c>
      <c r="U354" s="13" t="s">
        <v>42</v>
      </c>
      <c r="V354" s="7" t="s">
        <v>43</v>
      </c>
      <c r="W354" s="10">
        <f>'[1]V, inciso o) (OP)'!AD197</f>
        <v>42884</v>
      </c>
      <c r="X354" s="10">
        <f>'[1]V, inciso o) (OP)'!AE197</f>
        <v>42916</v>
      </c>
      <c r="Y354" s="7" t="s">
        <v>795</v>
      </c>
      <c r="Z354" s="7" t="s">
        <v>796</v>
      </c>
      <c r="AA354" s="7" t="s">
        <v>126</v>
      </c>
      <c r="AB354" s="21" t="s">
        <v>1535</v>
      </c>
      <c r="AC354" s="6" t="s">
        <v>2438</v>
      </c>
      <c r="AD354" s="6"/>
    </row>
    <row r="355" spans="1:30" ht="69.95" customHeight="1">
      <c r="A355" s="34">
        <v>70</v>
      </c>
      <c r="B355" s="7">
        <v>2017</v>
      </c>
      <c r="C355" s="7" t="s">
        <v>62</v>
      </c>
      <c r="D355" s="6" t="str">
        <f>'[1]V, inciso o) (OP)'!C198</f>
        <v>DOPI-MUN-FORTA-CAL-AD-070-2017</v>
      </c>
      <c r="E355" s="10">
        <f>'[1]V, inciso o) (OP)'!V198</f>
        <v>42845</v>
      </c>
      <c r="F355" s="6" t="str">
        <f>'[1]V, inciso o) (OP)'!AA198</f>
        <v>Control de calidad de diferentes obras 2017 del municipio de Zapopan, Jalisco, etapa 3.</v>
      </c>
      <c r="G355" s="6" t="s">
        <v>3322</v>
      </c>
      <c r="H355" s="39">
        <v>754065.98</v>
      </c>
      <c r="I355" s="6" t="s">
        <v>1317</v>
      </c>
      <c r="J355" s="6" t="str">
        <f>'[1]V, inciso o) (OP)'!M198</f>
        <v>JOEL</v>
      </c>
      <c r="K355" s="7" t="str">
        <f>'[1]V, inciso o) (OP)'!N198</f>
        <v>ZULOAGA</v>
      </c>
      <c r="L355" s="7" t="str">
        <f>'[1]V, inciso o) (OP)'!O198</f>
        <v>ACEVES</v>
      </c>
      <c r="M355" s="6" t="s">
        <v>3080</v>
      </c>
      <c r="N355" s="7" t="str">
        <f>'[1]V, inciso o) (OP)'!Q198</f>
        <v>TSC100210E48</v>
      </c>
      <c r="O355" s="11">
        <f t="shared" si="9"/>
        <v>754065.98</v>
      </c>
      <c r="P355" s="11">
        <v>364034.74000000005</v>
      </c>
      <c r="Q355" s="7" t="s">
        <v>618</v>
      </c>
      <c r="R355" s="11">
        <f>O355</f>
        <v>754065.98</v>
      </c>
      <c r="S355" s="7" t="s">
        <v>121</v>
      </c>
      <c r="T355" s="12" t="s">
        <v>121</v>
      </c>
      <c r="U355" s="13" t="s">
        <v>42</v>
      </c>
      <c r="V355" s="43" t="s">
        <v>43</v>
      </c>
      <c r="W355" s="10">
        <f>'[1]V, inciso o) (OP)'!AD198</f>
        <v>42849</v>
      </c>
      <c r="X355" s="10">
        <f>'[1]V, inciso o) (OP)'!AE198</f>
        <v>43013</v>
      </c>
      <c r="Y355" s="7" t="s">
        <v>521</v>
      </c>
      <c r="Z355" s="7" t="s">
        <v>522</v>
      </c>
      <c r="AA355" s="7" t="s">
        <v>523</v>
      </c>
      <c r="AB355" s="21" t="s">
        <v>1536</v>
      </c>
      <c r="AC355" s="6" t="s">
        <v>2438</v>
      </c>
      <c r="AD355" s="6"/>
    </row>
    <row r="356" spans="1:30" ht="69.95" customHeight="1">
      <c r="A356" s="34">
        <v>71</v>
      </c>
      <c r="B356" s="7">
        <v>2017</v>
      </c>
      <c r="C356" s="7" t="s">
        <v>62</v>
      </c>
      <c r="D356" s="6" t="str">
        <f>'[1]V, inciso o) (OP)'!C199</f>
        <v>DOPI-MUN-FORTA-PROY-AD-071-2017</v>
      </c>
      <c r="E356" s="10">
        <f>'[1]V, inciso o) (OP)'!V199</f>
        <v>42845</v>
      </c>
      <c r="F356" s="6" t="str">
        <f>'[1]V, inciso o) (OP)'!AA199</f>
        <v>Estudios de mecánica de suelos y diseño de pavimentos de diferentes obras 2017 del municipio de Zapopan, Jalisco, etapa 1.</v>
      </c>
      <c r="G356" s="6" t="s">
        <v>3322</v>
      </c>
      <c r="H356" s="25">
        <v>1002644.28</v>
      </c>
      <c r="I356" s="6" t="s">
        <v>1317</v>
      </c>
      <c r="J356" s="6" t="str">
        <f>'[1]V, inciso o) (OP)'!M199</f>
        <v>JOSE DE JESUS</v>
      </c>
      <c r="K356" s="7" t="str">
        <f>'[1]V, inciso o) (OP)'!N199</f>
        <v xml:space="preserve">CASTILLO </v>
      </c>
      <c r="L356" s="7" t="str">
        <f>'[1]V, inciso o) (OP)'!O199</f>
        <v>CARRILLO</v>
      </c>
      <c r="M356" s="6" t="s">
        <v>3143</v>
      </c>
      <c r="N356" s="7" t="str">
        <f>'[1]V, inciso o) (OP)'!Q199</f>
        <v>MOP080610I53</v>
      </c>
      <c r="O356" s="11">
        <f t="shared" si="9"/>
        <v>1002644.28</v>
      </c>
      <c r="P356" s="11">
        <v>1001680.62</v>
      </c>
      <c r="Q356" s="7" t="s">
        <v>618</v>
      </c>
      <c r="R356" s="11">
        <f>O356</f>
        <v>1002644.28</v>
      </c>
      <c r="S356" s="7" t="s">
        <v>121</v>
      </c>
      <c r="T356" s="12" t="s">
        <v>121</v>
      </c>
      <c r="U356" s="13" t="s">
        <v>42</v>
      </c>
      <c r="V356" s="43" t="s">
        <v>43</v>
      </c>
      <c r="W356" s="10">
        <f>'[1]V, inciso o) (OP)'!AD199</f>
        <v>42849</v>
      </c>
      <c r="X356" s="10">
        <f>'[1]V, inciso o) (OP)'!AE199</f>
        <v>43013</v>
      </c>
      <c r="Y356" s="7" t="s">
        <v>360</v>
      </c>
      <c r="Z356" s="7" t="s">
        <v>361</v>
      </c>
      <c r="AA356" s="7" t="s">
        <v>362</v>
      </c>
      <c r="AB356" s="21" t="s">
        <v>1537</v>
      </c>
      <c r="AC356" s="6" t="s">
        <v>2438</v>
      </c>
      <c r="AD356" s="6"/>
    </row>
    <row r="357" spans="1:30" ht="69.95" customHeight="1">
      <c r="A357" s="34">
        <v>72</v>
      </c>
      <c r="B357" s="7">
        <v>2017</v>
      </c>
      <c r="C357" s="7" t="s">
        <v>62</v>
      </c>
      <c r="D357" s="6" t="str">
        <f>'[1]V, inciso o) (OP)'!C200</f>
        <v>DOPI-MUN-FORTA-BAN-AD-072-2017</v>
      </c>
      <c r="E357" s="10">
        <f>'[1]V, inciso o) (OP)'!V200</f>
        <v>42859</v>
      </c>
      <c r="F357" s="6" t="str">
        <f>'[1]V, inciso o) (OP)'!AA200</f>
        <v>Peatonalización, construcción de banquetas, sustitución de guarniciones y bolardos en calle Ingeniero Alberto Mora López, desde la calle Elote a Carretera a Saltillo, zona las Mesas, municipio de Zapopan, Jalisco.</v>
      </c>
      <c r="G357" s="6" t="s">
        <v>3322</v>
      </c>
      <c r="H357" s="25">
        <v>506572.74</v>
      </c>
      <c r="I357" s="6" t="s">
        <v>797</v>
      </c>
      <c r="J357" s="6" t="str">
        <f>'[1]V, inciso o) (OP)'!M200</f>
        <v>ERICK</v>
      </c>
      <c r="K357" s="7" t="str">
        <f>'[1]V, inciso o) (OP)'!N200</f>
        <v>VILLASEÑOR</v>
      </c>
      <c r="L357" s="7" t="str">
        <f>'[1]V, inciso o) (OP)'!O200</f>
        <v>GUTIERREZ</v>
      </c>
      <c r="M357" s="6" t="s">
        <v>1843</v>
      </c>
      <c r="N357" s="7" t="str">
        <f>'[1]V, inciso o) (OP)'!Q200</f>
        <v>PCO140829425</v>
      </c>
      <c r="O357" s="11">
        <f t="shared" si="9"/>
        <v>506572.74</v>
      </c>
      <c r="P357" s="11">
        <v>506572.74</v>
      </c>
      <c r="Q357" s="7" t="s">
        <v>798</v>
      </c>
      <c r="R357" s="11">
        <f>O357/123</f>
        <v>4118.4775609756098</v>
      </c>
      <c r="S357" s="7" t="s">
        <v>41</v>
      </c>
      <c r="T357" s="12">
        <v>1450</v>
      </c>
      <c r="U357" s="13" t="s">
        <v>42</v>
      </c>
      <c r="V357" s="7" t="s">
        <v>43</v>
      </c>
      <c r="W357" s="10">
        <f>'[1]V, inciso o) (OP)'!AD200</f>
        <v>42863</v>
      </c>
      <c r="X357" s="10">
        <f>'[1]V, inciso o) (OP)'!AE200</f>
        <v>42916</v>
      </c>
      <c r="Y357" s="7" t="s">
        <v>345</v>
      </c>
      <c r="Z357" s="7" t="s">
        <v>346</v>
      </c>
      <c r="AA357" s="7" t="s">
        <v>347</v>
      </c>
      <c r="AB357" s="21" t="s">
        <v>2297</v>
      </c>
      <c r="AC357" s="6" t="s">
        <v>2438</v>
      </c>
      <c r="AD357" s="6"/>
    </row>
    <row r="358" spans="1:30" ht="69.95" customHeight="1">
      <c r="A358" s="34">
        <v>73</v>
      </c>
      <c r="B358" s="7">
        <v>2017</v>
      </c>
      <c r="C358" s="7" t="s">
        <v>62</v>
      </c>
      <c r="D358" s="6" t="str">
        <f>'[1]V, inciso o) (OP)'!C201</f>
        <v>DOPI-MUN-FORTA-ID-AD-073-2017</v>
      </c>
      <c r="E358" s="10">
        <f>'[1]V, inciso o) (OP)'!V201</f>
        <v>42853</v>
      </c>
      <c r="F358" s="6" t="str">
        <f>'[1]V, inciso o) (OP)'!AA201</f>
        <v>Construcción de Skatepark en la Unidad Deportiva Miguel de la Madrid, municipio de Zapopan, Jalisco.</v>
      </c>
      <c r="G358" s="6" t="s">
        <v>3322</v>
      </c>
      <c r="H358" s="25">
        <v>621688.56000000006</v>
      </c>
      <c r="I358" s="6" t="s">
        <v>799</v>
      </c>
      <c r="J358" s="6" t="str">
        <f>'[1]V, inciso o) (OP)'!M201</f>
        <v>DAVID</v>
      </c>
      <c r="K358" s="7" t="str">
        <f>'[1]V, inciso o) (OP)'!N201</f>
        <v>LEDESMA</v>
      </c>
      <c r="L358" s="7" t="str">
        <f>'[1]V, inciso o) (OP)'!O201</f>
        <v>MARTIN DEL CAMPO</v>
      </c>
      <c r="M358" s="6" t="s">
        <v>3144</v>
      </c>
      <c r="N358" s="7" t="str">
        <f>'[1]V, inciso o) (OP)'!Q201</f>
        <v>LEMD880217U53</v>
      </c>
      <c r="O358" s="11">
        <f t="shared" si="9"/>
        <v>621688.56000000006</v>
      </c>
      <c r="P358" s="11">
        <v>602476.43000000005</v>
      </c>
      <c r="Q358" s="7" t="s">
        <v>702</v>
      </c>
      <c r="R358" s="11">
        <f>O358/490</f>
        <v>1268.7521632653063</v>
      </c>
      <c r="S358" s="7" t="s">
        <v>41</v>
      </c>
      <c r="T358" s="12">
        <v>2399</v>
      </c>
      <c r="U358" s="13" t="s">
        <v>42</v>
      </c>
      <c r="V358" s="43" t="s">
        <v>43</v>
      </c>
      <c r="W358" s="10">
        <f>'[1]V, inciso o) (OP)'!AD201</f>
        <v>42857</v>
      </c>
      <c r="X358" s="10">
        <f>'[1]V, inciso o) (OP)'!AE201</f>
        <v>42946</v>
      </c>
      <c r="Y358" s="7" t="s">
        <v>800</v>
      </c>
      <c r="Z358" s="7" t="s">
        <v>231</v>
      </c>
      <c r="AA358" s="7" t="s">
        <v>143</v>
      </c>
      <c r="AB358" s="21" t="s">
        <v>2627</v>
      </c>
      <c r="AC358" s="6" t="s">
        <v>2438</v>
      </c>
      <c r="AD358" s="6"/>
    </row>
    <row r="359" spans="1:30" ht="69.95" customHeight="1">
      <c r="A359" s="34">
        <v>74</v>
      </c>
      <c r="B359" s="7">
        <v>2017</v>
      </c>
      <c r="C359" s="7" t="s">
        <v>62</v>
      </c>
      <c r="D359" s="6" t="str">
        <f>'[1]V, inciso o) (OP)'!C202</f>
        <v>DOPI-MUN-FORTA-IM-AD-074-2017</v>
      </c>
      <c r="E359" s="10">
        <f>'[1]V, inciso o) (OP)'!V202</f>
        <v>42886</v>
      </c>
      <c r="F359" s="6" t="str">
        <f>'[1]V, inciso o) (OP)'!AA202</f>
        <v>Construcción de muros de mampostería y obra complementaria en el parque El Polvorín II, municipio de Zapopan, Jalisco.</v>
      </c>
      <c r="G359" s="6" t="s">
        <v>3322</v>
      </c>
      <c r="H359" s="25">
        <v>710320.06</v>
      </c>
      <c r="I359" s="6" t="s">
        <v>136</v>
      </c>
      <c r="J359" s="6" t="str">
        <f>'[1]V, inciso o) (OP)'!M202</f>
        <v>LEOBARDO</v>
      </c>
      <c r="K359" s="7" t="str">
        <f>'[1]V, inciso o) (OP)'!N202</f>
        <v>PRECIADO</v>
      </c>
      <c r="L359" s="7" t="str">
        <f>'[1]V, inciso o) (OP)'!O202</f>
        <v>ZEPEDA</v>
      </c>
      <c r="M359" s="6" t="s">
        <v>3145</v>
      </c>
      <c r="N359" s="7" t="str">
        <f>'[1]V, inciso o) (OP)'!Q202</f>
        <v>CCA971126QC9</v>
      </c>
      <c r="O359" s="11">
        <f t="shared" si="9"/>
        <v>710320.06</v>
      </c>
      <c r="P359" s="11">
        <v>710320.04</v>
      </c>
      <c r="Q359" s="7" t="s">
        <v>801</v>
      </c>
      <c r="R359" s="11">
        <f>O359/295.7</f>
        <v>2402.1645586743325</v>
      </c>
      <c r="S359" s="7" t="s">
        <v>41</v>
      </c>
      <c r="T359" s="12">
        <v>2614</v>
      </c>
      <c r="U359" s="13" t="s">
        <v>42</v>
      </c>
      <c r="V359" s="7" t="s">
        <v>43</v>
      </c>
      <c r="W359" s="10">
        <f>'[1]V, inciso o) (OP)'!AD202</f>
        <v>42887</v>
      </c>
      <c r="X359" s="10">
        <f>'[1]V, inciso o) (OP)'!AE202</f>
        <v>42931</v>
      </c>
      <c r="Y359" s="7" t="s">
        <v>462</v>
      </c>
      <c r="Z359" s="7" t="s">
        <v>310</v>
      </c>
      <c r="AA359" s="7" t="s">
        <v>130</v>
      </c>
      <c r="AB359" s="21" t="s">
        <v>2298</v>
      </c>
      <c r="AC359" s="6" t="s">
        <v>2438</v>
      </c>
      <c r="AD359" s="6"/>
    </row>
    <row r="360" spans="1:30" ht="69.95" customHeight="1">
      <c r="A360" s="34">
        <v>75</v>
      </c>
      <c r="B360" s="7">
        <v>2017</v>
      </c>
      <c r="C360" s="7" t="s">
        <v>62</v>
      </c>
      <c r="D360" s="6" t="str">
        <f>'[1]V, inciso o) (OP)'!C203</f>
        <v>DOPI-MUN-FORTA-PAV-AD-075-2017</v>
      </c>
      <c r="E360" s="10">
        <f>'[1]V, inciso o) (OP)'!V203</f>
        <v>42867</v>
      </c>
      <c r="F360" s="6" t="str">
        <f>'[1]V, inciso o) (OP)'!AA203</f>
        <v>Construcción de pavimento de concreto hidráulico, banquetas, adecuaciones de la red sanitaria e hidráulica, en la Av. D, colonia El Tigre II, municipio de Zapopan, Jalisco, tramo 2.</v>
      </c>
      <c r="G360" s="6" t="s">
        <v>3322</v>
      </c>
      <c r="H360" s="25">
        <v>1394454.07</v>
      </c>
      <c r="I360" s="6" t="s">
        <v>802</v>
      </c>
      <c r="J360" s="6" t="str">
        <f>'[1]V, inciso o) (OP)'!M203</f>
        <v>OFELIA</v>
      </c>
      <c r="K360" s="7" t="str">
        <f>'[1]V, inciso o) (OP)'!N203</f>
        <v>BARRAGAN</v>
      </c>
      <c r="L360" s="7" t="str">
        <f>'[1]V, inciso o) (OP)'!O203</f>
        <v>REYNAGA</v>
      </c>
      <c r="M360" s="6" t="s">
        <v>3146</v>
      </c>
      <c r="N360" s="7" t="str">
        <f>'[1]V, inciso o) (OP)'!Q203</f>
        <v>IIA160303MFA</v>
      </c>
      <c r="O360" s="11">
        <f t="shared" si="9"/>
        <v>1394454.07</v>
      </c>
      <c r="P360" s="11">
        <v>1370305.49</v>
      </c>
      <c r="Q360" s="7" t="s">
        <v>803</v>
      </c>
      <c r="R360" s="11">
        <f>O360/2604</f>
        <v>535.50463517665128</v>
      </c>
      <c r="S360" s="7" t="s">
        <v>41</v>
      </c>
      <c r="T360" s="12">
        <v>365</v>
      </c>
      <c r="U360" s="13" t="s">
        <v>42</v>
      </c>
      <c r="V360" s="43" t="s">
        <v>43</v>
      </c>
      <c r="W360" s="10">
        <f>'[1]V, inciso o) (OP)'!AD203</f>
        <v>42870</v>
      </c>
      <c r="X360" s="10">
        <f>'[1]V, inciso o) (OP)'!AE203</f>
        <v>42940</v>
      </c>
      <c r="Y360" s="7" t="s">
        <v>380</v>
      </c>
      <c r="Z360" s="7" t="s">
        <v>45</v>
      </c>
      <c r="AA360" s="7" t="s">
        <v>46</v>
      </c>
      <c r="AB360" s="21" t="s">
        <v>1538</v>
      </c>
      <c r="AC360" s="6" t="s">
        <v>2438</v>
      </c>
      <c r="AD360" s="6"/>
    </row>
    <row r="361" spans="1:30" ht="69.95" customHeight="1">
      <c r="A361" s="34">
        <v>76</v>
      </c>
      <c r="B361" s="7">
        <v>2017</v>
      </c>
      <c r="C361" s="7" t="s">
        <v>62</v>
      </c>
      <c r="D361" s="6" t="str">
        <f>'[1]V, inciso o) (OP)'!C204</f>
        <v>DOPI-MUN-FORTA-DS-AD-076-2017</v>
      </c>
      <c r="E361" s="10">
        <f>'[1]V, inciso o) (OP)'!V204</f>
        <v>42842</v>
      </c>
      <c r="F361" s="6" t="str">
        <f>'[1]V, inciso o) (OP)'!AA204</f>
        <v>Sustitución de red de drenaje sanitario en calles de la colonia Lomas de Tabachines I sección, en el municipio de Zapopan, Jalisco, primera etapa.</v>
      </c>
      <c r="G361" s="6" t="s">
        <v>3322</v>
      </c>
      <c r="H361" s="25">
        <v>1714660.23</v>
      </c>
      <c r="I361" s="6" t="s">
        <v>804</v>
      </c>
      <c r="J361" s="6" t="str">
        <f>'[1]V, inciso o) (OP)'!M204</f>
        <v>LUIS ERAZMO</v>
      </c>
      <c r="K361" s="7" t="str">
        <f>'[1]V, inciso o) (OP)'!N204</f>
        <v>DURAN</v>
      </c>
      <c r="L361" s="7" t="str">
        <f>'[1]V, inciso o) (OP)'!O204</f>
        <v>GODINA</v>
      </c>
      <c r="M361" s="6" t="s">
        <v>3147</v>
      </c>
      <c r="N361" s="7" t="str">
        <f>'[1]V, inciso o) (OP)'!Q204</f>
        <v>CUP130507Q85</v>
      </c>
      <c r="O361" s="11">
        <f t="shared" si="9"/>
        <v>1714660.23</v>
      </c>
      <c r="P361" s="11">
        <v>1699460.05</v>
      </c>
      <c r="Q361" s="7" t="s">
        <v>805</v>
      </c>
      <c r="R361" s="11">
        <f>O361/504</f>
        <v>3402.1036309523811</v>
      </c>
      <c r="S361" s="7" t="s">
        <v>41</v>
      </c>
      <c r="T361" s="12">
        <v>284</v>
      </c>
      <c r="U361" s="13" t="s">
        <v>42</v>
      </c>
      <c r="V361" s="43" t="s">
        <v>43</v>
      </c>
      <c r="W361" s="10">
        <f>'[1]V, inciso o) (OP)'!AD204</f>
        <v>42842</v>
      </c>
      <c r="X361" s="10">
        <f>'[1]V, inciso o) (OP)'!AE204</f>
        <v>42931</v>
      </c>
      <c r="Y361" s="7" t="s">
        <v>753</v>
      </c>
      <c r="Z361" s="7" t="s">
        <v>754</v>
      </c>
      <c r="AA361" s="7" t="s">
        <v>806</v>
      </c>
      <c r="AB361" s="21" t="s">
        <v>1356</v>
      </c>
      <c r="AC361" s="6" t="s">
        <v>2438</v>
      </c>
      <c r="AD361" s="6"/>
    </row>
    <row r="362" spans="1:30" ht="69.95" customHeight="1">
      <c r="A362" s="34">
        <v>77</v>
      </c>
      <c r="B362" s="7">
        <v>2017</v>
      </c>
      <c r="C362" s="6" t="s">
        <v>139</v>
      </c>
      <c r="D362" s="6" t="str">
        <f>'[1]V, inciso p) (OP)'!D166</f>
        <v>DOPI-MUN-RM-PAV-CI-077-2017</v>
      </c>
      <c r="E362" s="10">
        <f>'[1]V, inciso p) (OP)'!AD166</f>
        <v>42929</v>
      </c>
      <c r="F362" s="6" t="str">
        <f>'[1]V, inciso p) (OP)'!AL166</f>
        <v>Pavimentación con concreto hidráulico de la Av. Romanos de calle Egipcios a Av. Patria, incluye agua potable, drenaje, guarniciones, banquetas, servicios complementarios y señalética, en la colonia Altamira, primera etapa, municipio de Zapopan, Jalisco.</v>
      </c>
      <c r="G362" s="6" t="s">
        <v>63</v>
      </c>
      <c r="H362" s="25">
        <v>3194358.94</v>
      </c>
      <c r="I362" s="6" t="str">
        <f>'[1]V, inciso p) (OP)'!AS166</f>
        <v>Colonia Altamira</v>
      </c>
      <c r="J362" s="6" t="str">
        <f>'[1]V, inciso p) (OP)'!T166</f>
        <v xml:space="preserve">FRANCISCO GUSTAVO </v>
      </c>
      <c r="K362" s="6" t="str">
        <f>'[1]V, inciso p) (OP)'!U166</f>
        <v>ACEVES</v>
      </c>
      <c r="L362" s="6" t="str">
        <f>'[1]V, inciso p) (OP)'!V166</f>
        <v xml:space="preserve">GARZA </v>
      </c>
      <c r="M362" s="6" t="s">
        <v>3148</v>
      </c>
      <c r="N362" s="6" t="str">
        <f>'[1]V, inciso p) (OP)'!X166</f>
        <v>TSI0906015A9</v>
      </c>
      <c r="O362" s="11">
        <f t="shared" si="9"/>
        <v>3194358.94</v>
      </c>
      <c r="P362" s="11">
        <v>3194358.93</v>
      </c>
      <c r="Q362" s="14" t="s">
        <v>807</v>
      </c>
      <c r="R362" s="15">
        <f>O362/1517</f>
        <v>2105.707936717205</v>
      </c>
      <c r="S362" s="7" t="s">
        <v>41</v>
      </c>
      <c r="T362" s="12">
        <v>2341</v>
      </c>
      <c r="U362" s="13" t="s">
        <v>42</v>
      </c>
      <c r="V362" s="7" t="s">
        <v>43</v>
      </c>
      <c r="W362" s="10">
        <v>42929</v>
      </c>
      <c r="X362" s="10">
        <v>43048</v>
      </c>
      <c r="Y362" s="7" t="s">
        <v>808</v>
      </c>
      <c r="Z362" s="7" t="s">
        <v>809</v>
      </c>
      <c r="AA362" s="7" t="s">
        <v>94</v>
      </c>
      <c r="AB362" s="21" t="s">
        <v>2618</v>
      </c>
      <c r="AC362" s="6" t="s">
        <v>2438</v>
      </c>
      <c r="AD362" s="6"/>
    </row>
    <row r="363" spans="1:30" ht="69.95" customHeight="1">
      <c r="A363" s="34">
        <v>78</v>
      </c>
      <c r="B363" s="7">
        <v>2017</v>
      </c>
      <c r="C363" s="6" t="s">
        <v>139</v>
      </c>
      <c r="D363" s="6" t="str">
        <f>'[1]V, inciso p) (OP)'!D167</f>
        <v>DOPI-MUN-FORTA-PAV-CI-078-2017</v>
      </c>
      <c r="E363" s="10">
        <f>'[1]V, inciso p) (OP)'!AD167</f>
        <v>42929</v>
      </c>
      <c r="F363" s="32" t="str">
        <f>'[1]V, inciso p) (OP)'!AL167</f>
        <v>Pavimentación con concreto hidráulico de calle Juan del Carmen, de calle Urano a calle Obreros de Cananea, incluye agua potable, drenaje, guarniciones, banquetas, servicios complementarios y señalética, en la colonia La Palmita, primera etapa, municipio de Zapopan, Jalisco.</v>
      </c>
      <c r="G363" s="6" t="s">
        <v>3322</v>
      </c>
      <c r="H363" s="25">
        <v>3985531.8400000003</v>
      </c>
      <c r="I363" s="6" t="str">
        <f>'[1]V, inciso p) (OP)'!AS167</f>
        <v>Colonia La Palmita</v>
      </c>
      <c r="J363" s="6" t="str">
        <f>'[1]V, inciso p) (OP)'!T167</f>
        <v>J. JESÚS</v>
      </c>
      <c r="K363" s="6" t="str">
        <f>'[1]V, inciso p) (OP)'!U167</f>
        <v>NUÑEZ</v>
      </c>
      <c r="L363" s="6" t="str">
        <f>'[1]V, inciso p) (OP)'!V167</f>
        <v>GUTIÉRREZ</v>
      </c>
      <c r="M363" s="6" t="s">
        <v>3149</v>
      </c>
      <c r="N363" s="6" t="str">
        <f>'[1]V, inciso p) (OP)'!X167</f>
        <v>CVC110114429</v>
      </c>
      <c r="O363" s="11">
        <f t="shared" si="9"/>
        <v>3985531.8400000003</v>
      </c>
      <c r="P363" s="11">
        <v>3985519.7600000002</v>
      </c>
      <c r="Q363" s="14" t="s">
        <v>810</v>
      </c>
      <c r="R363" s="15">
        <f>O363/1422</f>
        <v>2802.7650070323489</v>
      </c>
      <c r="S363" s="7" t="s">
        <v>41</v>
      </c>
      <c r="T363" s="12">
        <v>4778</v>
      </c>
      <c r="U363" s="13" t="s">
        <v>42</v>
      </c>
      <c r="V363" s="43" t="s">
        <v>43</v>
      </c>
      <c r="W363" s="10">
        <v>42929</v>
      </c>
      <c r="X363" s="10">
        <v>43048</v>
      </c>
      <c r="Y363" s="7" t="s">
        <v>436</v>
      </c>
      <c r="Z363" s="7" t="s">
        <v>437</v>
      </c>
      <c r="AA363" s="7" t="s">
        <v>362</v>
      </c>
      <c r="AB363" s="21" t="s">
        <v>2619</v>
      </c>
      <c r="AC363" s="6" t="s">
        <v>2438</v>
      </c>
      <c r="AD363" s="6"/>
    </row>
    <row r="364" spans="1:30" ht="69.95" customHeight="1">
      <c r="A364" s="34">
        <v>82</v>
      </c>
      <c r="B364" s="7">
        <v>2017</v>
      </c>
      <c r="C364" s="6" t="s">
        <v>139</v>
      </c>
      <c r="D364" s="6" t="str">
        <f>'[1]V, inciso p) (OP)'!D169</f>
        <v>DOPI-MUN-RM-PAV-CI-082-2017</v>
      </c>
      <c r="E364" s="10">
        <f>'[1]V, inciso p) (OP)'!AD169</f>
        <v>42929</v>
      </c>
      <c r="F364" s="6" t="str">
        <f>'[1]V, inciso p) (OP)'!AL169</f>
        <v>Pavimentación con mezcla asfáltica de calle Belisario Domínguez -Paseo de la Primavera, de privada Mariano Otero a Prol. Guadalupe, en las colonias Mariano Otero y Arenales Tapatíos, primera etapa, municipio de Zapopan, Jalisco.</v>
      </c>
      <c r="G364" s="6" t="s">
        <v>63</v>
      </c>
      <c r="H364" s="25">
        <v>1996321.71</v>
      </c>
      <c r="I364" s="6" t="str">
        <f>'[1]V, inciso p) (OP)'!AS169</f>
        <v>Colonias Mariano Otero y Arenales Tapatíos</v>
      </c>
      <c r="J364" s="6" t="str">
        <f>'[1]V, inciso p) (OP)'!T169</f>
        <v>JUAN PABLO</v>
      </c>
      <c r="K364" s="6" t="str">
        <f>'[1]V, inciso p) (OP)'!U169</f>
        <v>VERA</v>
      </c>
      <c r="L364" s="6" t="str">
        <f>'[1]V, inciso p) (OP)'!V169</f>
        <v>TAVARES</v>
      </c>
      <c r="M364" s="6" t="s">
        <v>3083</v>
      </c>
      <c r="N364" s="6" t="str">
        <f>'[1]V, inciso p) (OP)'!X169</f>
        <v>LCO080228DN2</v>
      </c>
      <c r="O364" s="11">
        <f t="shared" si="9"/>
        <v>1996321.71</v>
      </c>
      <c r="P364" s="11">
        <v>1996321.7209999999</v>
      </c>
      <c r="Q364" s="14" t="s">
        <v>813</v>
      </c>
      <c r="R364" s="15">
        <f>O364/5106</f>
        <v>390.97565804935368</v>
      </c>
      <c r="S364" s="7" t="s">
        <v>41</v>
      </c>
      <c r="T364" s="12">
        <v>7395</v>
      </c>
      <c r="U364" s="13" t="s">
        <v>42</v>
      </c>
      <c r="V364" s="43" t="s">
        <v>43</v>
      </c>
      <c r="W364" s="10">
        <v>42929</v>
      </c>
      <c r="X364" s="10">
        <v>43018</v>
      </c>
      <c r="Y364" s="7" t="s">
        <v>722</v>
      </c>
      <c r="Z364" s="7" t="s">
        <v>231</v>
      </c>
      <c r="AA364" s="7" t="s">
        <v>143</v>
      </c>
      <c r="AB364" s="21" t="s">
        <v>2620</v>
      </c>
      <c r="AC364" s="6" t="s">
        <v>2438</v>
      </c>
      <c r="AD364" s="6"/>
    </row>
    <row r="365" spans="1:30" ht="69.95" customHeight="1">
      <c r="A365" s="34">
        <v>84</v>
      </c>
      <c r="B365" s="7">
        <v>2017</v>
      </c>
      <c r="C365" s="6" t="s">
        <v>139</v>
      </c>
      <c r="D365" s="6" t="str">
        <f>'[1]V, inciso p) (OP)'!D170</f>
        <v>DOPI-MUN-R33-DS-CI-084-2017</v>
      </c>
      <c r="E365" s="10">
        <f>'[1]V, inciso p) (OP)'!AD170</f>
        <v>42929</v>
      </c>
      <c r="F365" s="6" t="str">
        <f>'[1]V, inciso p) (OP)'!AL170</f>
        <v>Construcción de red de drenaje y agua potable en privada Montes de Oca, calle Fernando Montes de Oca, Privada Juan Escutia y calle Juan Escutia, en la colonia Prados de Santa Lucia, municipio de Zapopan, Jalisco.</v>
      </c>
      <c r="G365" s="6" t="s">
        <v>3325</v>
      </c>
      <c r="H365" s="25">
        <v>2201617.29</v>
      </c>
      <c r="I365" s="6" t="str">
        <f>'[1]V, inciso p) (OP)'!AS170</f>
        <v>Colonia Prados de Santa Lucia</v>
      </c>
      <c r="J365" s="6" t="str">
        <f>'[1]V, inciso p) (OP)'!T170</f>
        <v>JAVIER</v>
      </c>
      <c r="K365" s="6" t="str">
        <f>'[1]V, inciso p) (OP)'!U170</f>
        <v xml:space="preserve">ÁVILA </v>
      </c>
      <c r="L365" s="6" t="str">
        <f>'[1]V, inciso p) (OP)'!V170</f>
        <v>FLORES</v>
      </c>
      <c r="M365" s="6" t="s">
        <v>2100</v>
      </c>
      <c r="N365" s="6" t="str">
        <f>'[1]V, inciso p) (OP)'!X170</f>
        <v>SCC060622HZ3</v>
      </c>
      <c r="O365" s="11">
        <f t="shared" si="9"/>
        <v>2201617.29</v>
      </c>
      <c r="P365" s="11">
        <v>1389594.6099999999</v>
      </c>
      <c r="Q365" s="14" t="s">
        <v>814</v>
      </c>
      <c r="R365" s="15">
        <f>O365/400</f>
        <v>5504.0432250000003</v>
      </c>
      <c r="S365" s="7" t="s">
        <v>41</v>
      </c>
      <c r="T365" s="12">
        <v>605</v>
      </c>
      <c r="U365" s="13" t="s">
        <v>42</v>
      </c>
      <c r="V365" s="7" t="s">
        <v>43</v>
      </c>
      <c r="W365" s="10">
        <v>42929</v>
      </c>
      <c r="X365" s="10">
        <v>43018</v>
      </c>
      <c r="Y365" s="7" t="s">
        <v>815</v>
      </c>
      <c r="Z365" s="7" t="s">
        <v>816</v>
      </c>
      <c r="AA365" s="7" t="s">
        <v>130</v>
      </c>
      <c r="AB365" s="21" t="s">
        <v>2621</v>
      </c>
      <c r="AC365" s="6" t="s">
        <v>2438</v>
      </c>
      <c r="AD365" s="6"/>
    </row>
    <row r="366" spans="1:30" ht="69.95" customHeight="1">
      <c r="A366" s="34">
        <v>86</v>
      </c>
      <c r="B366" s="7">
        <v>2017</v>
      </c>
      <c r="C366" s="6" t="s">
        <v>139</v>
      </c>
      <c r="D366" s="6" t="str">
        <f>'[1]V, inciso p) (OP)'!D171</f>
        <v>DOPI-MUN-R33-DS-CI-086-2017</v>
      </c>
      <c r="E366" s="10">
        <f>'[1]V, inciso p) (OP)'!AD171</f>
        <v>42929</v>
      </c>
      <c r="F366" s="6" t="str">
        <f>'[1]V, inciso p) (OP)'!AL171</f>
        <v>Construcción de red de Drenaje y Agua Potable en la Calle San Francisco Tesistán y calles adyacentes, en la colonia Valle de la Providencia (La Cuchilla), municipio de Zapopan, Jalisco.</v>
      </c>
      <c r="G366" s="6" t="s">
        <v>3325</v>
      </c>
      <c r="H366" s="25">
        <v>7905004.8799999999</v>
      </c>
      <c r="I366" s="6" t="str">
        <f>'[1]V, inciso p) (OP)'!AS171</f>
        <v>Colonia Valle de la Providencia (La Cuchilla)</v>
      </c>
      <c r="J366" s="6" t="str">
        <f>'[1]V, inciso p) (OP)'!T171</f>
        <v xml:space="preserve">EDUARDO </v>
      </c>
      <c r="K366" s="6" t="str">
        <f>'[1]V, inciso p) (OP)'!U171</f>
        <v>ROMERO</v>
      </c>
      <c r="L366" s="6" t="str">
        <f>'[1]V, inciso p) (OP)'!V171</f>
        <v>LUGO</v>
      </c>
      <c r="M366" s="6" t="s">
        <v>1824</v>
      </c>
      <c r="N366" s="6" t="str">
        <f>'[1]V, inciso p) (OP)'!X171</f>
        <v>ROS120904PV9</v>
      </c>
      <c r="O366" s="11">
        <f t="shared" si="9"/>
        <v>7905004.8799999999</v>
      </c>
      <c r="P366" s="11">
        <v>7896711.0999999996</v>
      </c>
      <c r="Q366" s="14" t="s">
        <v>817</v>
      </c>
      <c r="R366" s="15">
        <f>O366/1670</f>
        <v>4733.5358562874253</v>
      </c>
      <c r="S366" s="7" t="s">
        <v>41</v>
      </c>
      <c r="T366" s="12">
        <v>1538</v>
      </c>
      <c r="U366" s="13" t="s">
        <v>42</v>
      </c>
      <c r="V366" s="43" t="s">
        <v>43</v>
      </c>
      <c r="W366" s="10">
        <v>42929</v>
      </c>
      <c r="X366" s="10">
        <v>43048</v>
      </c>
      <c r="Y366" s="7" t="s">
        <v>780</v>
      </c>
      <c r="Z366" s="7" t="s">
        <v>818</v>
      </c>
      <c r="AA366" s="7" t="s">
        <v>186</v>
      </c>
      <c r="AB366" s="21" t="s">
        <v>2622</v>
      </c>
      <c r="AC366" s="6" t="s">
        <v>2438</v>
      </c>
      <c r="AD366" s="6"/>
    </row>
    <row r="367" spans="1:30" ht="69.95" customHeight="1">
      <c r="A367" s="34">
        <v>87</v>
      </c>
      <c r="B367" s="7">
        <v>2017</v>
      </c>
      <c r="C367" s="6" t="s">
        <v>139</v>
      </c>
      <c r="D367" s="6" t="str">
        <f>'[1]V, inciso p) (OP)'!D172</f>
        <v>DOPI-MUN-R33-DS-CI-087-2017</v>
      </c>
      <c r="E367" s="10">
        <f>'[1]V, inciso p) (OP)'!AD172</f>
        <v>42929</v>
      </c>
      <c r="F367" s="6" t="str">
        <f>'[1]V, inciso p) (OP)'!AL172</f>
        <v>Construcción de red de drenaje y agua potable en las calles: Prados de las Torres, Prados de Nextipac, Prados del Maíz I y II Sección, calle los Pinos, en la colonia Prados de Nextipac, municipio de Zapopan, Jalisco.</v>
      </c>
      <c r="G367" s="6" t="s">
        <v>3325</v>
      </c>
      <c r="H367" s="25">
        <v>3180001.46</v>
      </c>
      <c r="I367" s="6" t="str">
        <f>'[1]V, inciso p) (OP)'!AS172</f>
        <v>Colonia Prados de Nextipac</v>
      </c>
      <c r="J367" s="6" t="str">
        <f>'[1]V, inciso p) (OP)'!T172</f>
        <v>ARTURO</v>
      </c>
      <c r="K367" s="6" t="str">
        <f>'[1]V, inciso p) (OP)'!U172</f>
        <v>RANGEL</v>
      </c>
      <c r="L367" s="6" t="str">
        <f>'[1]V, inciso p) (OP)'!V172</f>
        <v>PAEZ</v>
      </c>
      <c r="M367" s="6" t="s">
        <v>2016</v>
      </c>
      <c r="N367" s="6" t="str">
        <f>'[1]V, inciso p) (OP)'!X172</f>
        <v>CLA890925ER5</v>
      </c>
      <c r="O367" s="11">
        <f t="shared" si="9"/>
        <v>3180001.46</v>
      </c>
      <c r="P367" s="11">
        <v>2000642.13</v>
      </c>
      <c r="Q367" s="14" t="s">
        <v>819</v>
      </c>
      <c r="R367" s="15">
        <f>O367/555</f>
        <v>5729.73236036036</v>
      </c>
      <c r="S367" s="7" t="s">
        <v>41</v>
      </c>
      <c r="T367" s="12">
        <v>246</v>
      </c>
      <c r="U367" s="13" t="s">
        <v>42</v>
      </c>
      <c r="V367" s="43" t="s">
        <v>43</v>
      </c>
      <c r="W367" s="10">
        <v>42929</v>
      </c>
      <c r="X367" s="10">
        <v>43018</v>
      </c>
      <c r="Y367" s="7" t="s">
        <v>815</v>
      </c>
      <c r="Z367" s="7" t="s">
        <v>816</v>
      </c>
      <c r="AA367" s="7" t="s">
        <v>130</v>
      </c>
      <c r="AB367" s="21" t="s">
        <v>2623</v>
      </c>
      <c r="AC367" s="6" t="s">
        <v>2438</v>
      </c>
      <c r="AD367" s="6"/>
    </row>
    <row r="368" spans="1:30" ht="69.95" customHeight="1">
      <c r="A368" s="34">
        <v>88</v>
      </c>
      <c r="B368" s="7">
        <v>2017</v>
      </c>
      <c r="C368" s="6" t="s">
        <v>139</v>
      </c>
      <c r="D368" s="6" t="str">
        <f>'[1]V, inciso p) (OP)'!D173</f>
        <v>DOPI-MUN-R33-PAV-CI-088-2017</v>
      </c>
      <c r="E368" s="10">
        <f>'[1]V, inciso p) (OP)'!AD173</f>
        <v>42929</v>
      </c>
      <c r="F368" s="32" t="str">
        <f>'[1]V, inciso p) (OP)'!AL173</f>
        <v>Pavimentación de las calles: Hacienda Escondida de Ingreso a San Miguel, San Miguel de Tampico a San Rafael, Tampico de San Miguel a San José, San José de Hacienda San Rafael a Tampico, San Rafael de Hacienda San Miguel a San José, Primera etapa, en la colonia Hacienda Juárez, municipio de Zapopan, Jalisco.</v>
      </c>
      <c r="G368" s="6" t="s">
        <v>3325</v>
      </c>
      <c r="H368" s="25">
        <v>4192091.6</v>
      </c>
      <c r="I368" s="6" t="str">
        <f>'[1]V, inciso p) (OP)'!AS173</f>
        <v>Colonia Hacienda Juárez</v>
      </c>
      <c r="J368" s="6" t="str">
        <f>'[1]V, inciso p) (OP)'!T173</f>
        <v>JOSÉ LUIS</v>
      </c>
      <c r="K368" s="6" t="str">
        <f>'[1]V, inciso p) (OP)'!U173</f>
        <v>GIL</v>
      </c>
      <c r="L368" s="6" t="str">
        <f>'[1]V, inciso p) (OP)'!V173</f>
        <v>ARROYO</v>
      </c>
      <c r="M368" s="6" t="s">
        <v>3150</v>
      </c>
      <c r="N368" s="6" t="str">
        <f>'[1]V, inciso p) (OP)'!X173</f>
        <v>CPG861118QF1</v>
      </c>
      <c r="O368" s="11">
        <f t="shared" si="9"/>
        <v>4192091.6</v>
      </c>
      <c r="P368" s="11">
        <v>3943322.71</v>
      </c>
      <c r="Q368" s="14" t="s">
        <v>820</v>
      </c>
      <c r="R368" s="15">
        <f>O368/1360</f>
        <v>3082.4202941176472</v>
      </c>
      <c r="S368" s="7" t="s">
        <v>41</v>
      </c>
      <c r="T368" s="12">
        <v>1873</v>
      </c>
      <c r="U368" s="13" t="s">
        <v>42</v>
      </c>
      <c r="V368" s="43" t="s">
        <v>43</v>
      </c>
      <c r="W368" s="10">
        <v>42929</v>
      </c>
      <c r="X368" s="10">
        <v>43048</v>
      </c>
      <c r="Y368" s="7" t="s">
        <v>815</v>
      </c>
      <c r="Z368" s="7" t="s">
        <v>816</v>
      </c>
      <c r="AA368" s="7" t="s">
        <v>130</v>
      </c>
      <c r="AB368" s="21" t="s">
        <v>2624</v>
      </c>
      <c r="AC368" s="6" t="s">
        <v>2438</v>
      </c>
      <c r="AD368" s="6"/>
    </row>
    <row r="369" spans="1:30" ht="69.95" customHeight="1">
      <c r="A369" s="34">
        <v>89</v>
      </c>
      <c r="B369" s="7">
        <v>2017</v>
      </c>
      <c r="C369" s="6" t="s">
        <v>139</v>
      </c>
      <c r="D369" s="6" t="str">
        <f>'[1]V, inciso p) (OP)'!D174</f>
        <v>DOPI-MUN-R33-PAV-CI-089-2017</v>
      </c>
      <c r="E369" s="10">
        <f>'[1]V, inciso p) (OP)'!AD174</f>
        <v>42929</v>
      </c>
      <c r="F369" s="32" t="str">
        <f>'[1]V, inciso p) (OP)'!AL174</f>
        <v>Pavimentación de Las Calles:  Eucalipto de 25 de Mayo a Monte Sumae, Casuarinas, Ciprés Italiano de Eucalipto a Monte Sumae, Los Pinos de 16 de Septiembre a Monte Sumae, Monte Sumae de Ciprés Italiano a Zapote, Zapote de 16 de Septiembre a Monte Sumae, priv. Pinos 1 y 2, Primera etapa, en la colonia Predio El Zapote, municipio de Zapopan, Jalisco.</v>
      </c>
      <c r="G369" s="6" t="s">
        <v>3325</v>
      </c>
      <c r="H369" s="25">
        <v>5339997.92</v>
      </c>
      <c r="I369" s="6" t="str">
        <f>'[1]V, inciso p) (OP)'!AS174</f>
        <v>Colonia Predio El Zapote</v>
      </c>
      <c r="J369" s="6" t="str">
        <f>'[1]V, inciso p) (OP)'!T174</f>
        <v>CLARISSA GABRIELA</v>
      </c>
      <c r="K369" s="6" t="str">
        <f>'[1]V, inciso p) (OP)'!U174</f>
        <v>VALDEZ</v>
      </c>
      <c r="L369" s="6" t="str">
        <f>'[1]V, inciso p) (OP)'!V174</f>
        <v>MANJARREZ</v>
      </c>
      <c r="M369" s="6" t="s">
        <v>2033</v>
      </c>
      <c r="N369" s="6" t="str">
        <f>'[1]V, inciso p) (OP)'!X174</f>
        <v>TGE101215JI6</v>
      </c>
      <c r="O369" s="11">
        <f t="shared" si="9"/>
        <v>5339997.92</v>
      </c>
      <c r="P369" s="11">
        <v>5339872.83</v>
      </c>
      <c r="Q369" s="14" t="s">
        <v>821</v>
      </c>
      <c r="R369" s="15">
        <f>O369/1712</f>
        <v>3119.157663551402</v>
      </c>
      <c r="S369" s="7" t="s">
        <v>41</v>
      </c>
      <c r="T369" s="12">
        <v>2037</v>
      </c>
      <c r="U369" s="13" t="s">
        <v>42</v>
      </c>
      <c r="V369" s="7" t="s">
        <v>43</v>
      </c>
      <c r="W369" s="10">
        <v>42929</v>
      </c>
      <c r="X369" s="10">
        <v>43048</v>
      </c>
      <c r="Y369" s="7" t="s">
        <v>780</v>
      </c>
      <c r="Z369" s="7" t="s">
        <v>818</v>
      </c>
      <c r="AA369" s="7" t="s">
        <v>186</v>
      </c>
      <c r="AB369" s="21" t="s">
        <v>2625</v>
      </c>
      <c r="AC369" s="6" t="s">
        <v>2438</v>
      </c>
      <c r="AD369" s="6"/>
    </row>
    <row r="370" spans="1:30" ht="69.95" customHeight="1">
      <c r="A370" s="34">
        <v>90</v>
      </c>
      <c r="B370" s="7">
        <v>2017</v>
      </c>
      <c r="C370" s="6" t="s">
        <v>139</v>
      </c>
      <c r="D370" s="6" t="str">
        <f>'[1]V, inciso p) (OP)'!D175</f>
        <v>DOPI-MUN-R33-DS-CI-090-2017</v>
      </c>
      <c r="E370" s="10">
        <f>'[1]V, inciso p) (OP)'!AD175</f>
        <v>42929</v>
      </c>
      <c r="F370" s="6" t="str">
        <f>'[1]V, inciso p) (OP)'!AL175</f>
        <v>Construcción de red de drenaje y agua potable en la calle Eucalipto, calle Puesta del Sol, calle La Presa y calle Jaime Prieto, en la colonia Valle de Los Robles, municipio de Zapopan, Jalisco.</v>
      </c>
      <c r="G370" s="6" t="s">
        <v>3325</v>
      </c>
      <c r="H370" s="25">
        <v>3367258.31</v>
      </c>
      <c r="I370" s="6" t="str">
        <f>'[1]V, inciso p) (OP)'!AS175</f>
        <v>Colonia Valle de Los Robles</v>
      </c>
      <c r="J370" s="6" t="str">
        <f>'[1]V, inciso p) (OP)'!T175</f>
        <v>FRANCISCO JAVIER</v>
      </c>
      <c r="K370" s="6" t="str">
        <f>'[1]V, inciso p) (OP)'!U175</f>
        <v>DIAZ</v>
      </c>
      <c r="L370" s="6" t="str">
        <f>'[1]V, inciso p) (OP)'!V175</f>
        <v>RUIZ</v>
      </c>
      <c r="M370" s="6" t="s">
        <v>2083</v>
      </c>
      <c r="N370" s="6" t="str">
        <f>'[1]V, inciso p) (OP)'!X175</f>
        <v>CDI950714B79</v>
      </c>
      <c r="O370" s="11">
        <f t="shared" si="9"/>
        <v>3367258.31</v>
      </c>
      <c r="P370" s="11">
        <v>2189437.59</v>
      </c>
      <c r="Q370" s="14" t="s">
        <v>814</v>
      </c>
      <c r="R370" s="15">
        <f>O370/400</f>
        <v>8418.1457750000009</v>
      </c>
      <c r="S370" s="7" t="s">
        <v>41</v>
      </c>
      <c r="T370" s="12">
        <v>237</v>
      </c>
      <c r="U370" s="13" t="s">
        <v>42</v>
      </c>
      <c r="V370" s="7" t="s">
        <v>43</v>
      </c>
      <c r="W370" s="10">
        <v>42929</v>
      </c>
      <c r="X370" s="10">
        <v>43039</v>
      </c>
      <c r="Y370" s="7" t="s">
        <v>780</v>
      </c>
      <c r="Z370" s="7" t="s">
        <v>818</v>
      </c>
      <c r="AA370" s="7" t="s">
        <v>186</v>
      </c>
      <c r="AB370" s="21" t="s">
        <v>2626</v>
      </c>
      <c r="AC370" s="6" t="s">
        <v>2438</v>
      </c>
      <c r="AD370" s="6"/>
    </row>
    <row r="371" spans="1:30" ht="69.95" customHeight="1">
      <c r="A371" s="34">
        <v>91</v>
      </c>
      <c r="B371" s="7">
        <v>2017</v>
      </c>
      <c r="C371" s="6" t="s">
        <v>139</v>
      </c>
      <c r="D371" s="6" t="str">
        <f>'[1]V, inciso p) (OP)'!D176</f>
        <v>DOPI-MUN-R33-DS-CI-091-2017</v>
      </c>
      <c r="E371" s="10">
        <f>'[1]V, inciso p) (OP)'!AD176</f>
        <v>42929</v>
      </c>
      <c r="F371" s="6" t="str">
        <f>'[1]V, inciso p) (OP)'!AL176</f>
        <v>Construcción de red de alcantarillado y agua potable en la calle San Jorge, calle San Miguel, calle San Rafael y calles Adyacentes, en la colonia La Limera, municipio de Zapopan, Jalisco.</v>
      </c>
      <c r="G371" s="6" t="s">
        <v>3325</v>
      </c>
      <c r="H371" s="25">
        <v>5792979.8799999999</v>
      </c>
      <c r="I371" s="6" t="str">
        <f>'[1]V, inciso p) (OP)'!AS176</f>
        <v>Colonia La Limera</v>
      </c>
      <c r="J371" s="6" t="str">
        <f>'[1]V, inciso p) (OP)'!T176</f>
        <v xml:space="preserve"> MARTHA </v>
      </c>
      <c r="K371" s="6" t="str">
        <f>'[1]V, inciso p) (OP)'!U176</f>
        <v>JIMENEZ</v>
      </c>
      <c r="L371" s="6" t="str">
        <f>'[1]V, inciso p) (OP)'!V176</f>
        <v>LOPEZ</v>
      </c>
      <c r="M371" s="6" t="s">
        <v>1936</v>
      </c>
      <c r="N371" s="6" t="str">
        <f>'[1]V, inciso p) (OP)'!X176</f>
        <v>IBO090918ET9</v>
      </c>
      <c r="O371" s="11">
        <f t="shared" si="9"/>
        <v>5792979.8799999999</v>
      </c>
      <c r="P371" s="11">
        <v>5792813.2200000007</v>
      </c>
      <c r="Q371" s="14" t="s">
        <v>822</v>
      </c>
      <c r="R371" s="15">
        <f>O371/945</f>
        <v>6130.1374391534391</v>
      </c>
      <c r="S371" s="7" t="s">
        <v>41</v>
      </c>
      <c r="T371" s="12">
        <v>329</v>
      </c>
      <c r="U371" s="13" t="s">
        <v>42</v>
      </c>
      <c r="V371" s="43" t="s">
        <v>43</v>
      </c>
      <c r="W371" s="10">
        <v>42929</v>
      </c>
      <c r="X371" s="10">
        <v>43039</v>
      </c>
      <c r="Y371" s="7" t="s">
        <v>780</v>
      </c>
      <c r="Z371" s="7" t="s">
        <v>818</v>
      </c>
      <c r="AA371" s="7" t="s">
        <v>186</v>
      </c>
      <c r="AB371" s="21" t="s">
        <v>2628</v>
      </c>
      <c r="AC371" s="6" t="s">
        <v>2438</v>
      </c>
      <c r="AD371" s="6"/>
    </row>
    <row r="372" spans="1:30" ht="69.95" customHeight="1">
      <c r="A372" s="34">
        <v>92</v>
      </c>
      <c r="B372" s="7">
        <v>2017</v>
      </c>
      <c r="C372" s="6" t="s">
        <v>139</v>
      </c>
      <c r="D372" s="6" t="str">
        <f>'[1]V, inciso p) (OP)'!D177</f>
        <v>DOPI-MUN-R33-IE-CI-092-2017</v>
      </c>
      <c r="E372" s="10">
        <f>'[1]V, inciso p) (OP)'!AD177</f>
        <v>42929</v>
      </c>
      <c r="F372" s="6" t="str">
        <f>'[1]V, inciso p) (OP)'!AL177</f>
        <v>Red electrificación y servicios complementarios en la calle 1 de Noviembre, calle Naranjo, calle Mandarina, calle Limón, calle Fresa, privada Sin Nombre y calle Capulín, en la colonia Zapote II, municipio de Zapopan, Jalisco.</v>
      </c>
      <c r="G372" s="6" t="s">
        <v>3325</v>
      </c>
      <c r="H372" s="25">
        <v>1850002.03</v>
      </c>
      <c r="I372" s="6" t="str">
        <f>'[1]V, inciso p) (OP)'!AS177</f>
        <v>Colonia Zapote II</v>
      </c>
      <c r="J372" s="6" t="str">
        <f>'[1]V, inciso p) (OP)'!T177</f>
        <v>VICTOR</v>
      </c>
      <c r="K372" s="6" t="str">
        <f>'[1]V, inciso p) (OP)'!U177</f>
        <v>ZAYAS</v>
      </c>
      <c r="L372" s="6" t="str">
        <f>'[1]V, inciso p) (OP)'!V177</f>
        <v>RIQUELME</v>
      </c>
      <c r="M372" s="6" t="s">
        <v>1892</v>
      </c>
      <c r="N372" s="6" t="str">
        <f>'[1]V, inciso p) (OP)'!X177</f>
        <v>GIC810323RA6</v>
      </c>
      <c r="O372" s="11">
        <f t="shared" si="9"/>
        <v>1850002.03</v>
      </c>
      <c r="P372" s="11">
        <v>1850002.04</v>
      </c>
      <c r="Q372" s="14" t="s">
        <v>823</v>
      </c>
      <c r="R372" s="15">
        <f>O372/31</f>
        <v>59677.484838709679</v>
      </c>
      <c r="S372" s="7" t="s">
        <v>41</v>
      </c>
      <c r="T372" s="12">
        <v>1487</v>
      </c>
      <c r="U372" s="13" t="s">
        <v>42</v>
      </c>
      <c r="V372" s="43" t="s">
        <v>43</v>
      </c>
      <c r="W372" s="10">
        <v>42929</v>
      </c>
      <c r="X372" s="10">
        <v>43048</v>
      </c>
      <c r="Y372" s="7" t="s">
        <v>402</v>
      </c>
      <c r="Z372" s="7" t="s">
        <v>296</v>
      </c>
      <c r="AA372" s="7" t="s">
        <v>508</v>
      </c>
      <c r="AB372" s="21" t="s">
        <v>2629</v>
      </c>
      <c r="AC372" s="6" t="s">
        <v>2438</v>
      </c>
      <c r="AD372" s="6"/>
    </row>
    <row r="373" spans="1:30" ht="69.95" customHeight="1">
      <c r="A373" s="34">
        <v>93</v>
      </c>
      <c r="B373" s="7">
        <v>2017</v>
      </c>
      <c r="C373" s="6" t="s">
        <v>139</v>
      </c>
      <c r="D373" s="6" t="str">
        <f>'[1]V, inciso p) (OP)'!D178</f>
        <v>DOPI-MUN-R33-AP-CI-093-2017</v>
      </c>
      <c r="E373" s="10">
        <f>'[1]V, inciso p) (OP)'!AD178</f>
        <v>42929</v>
      </c>
      <c r="F373" s="6" t="str">
        <f>'[1]V, inciso p) (OP)'!AL178</f>
        <v>Perforación de pozo profundo, en la colonia Copalita Poblado, municipio de Zapopan, Jalisco.</v>
      </c>
      <c r="G373" s="6" t="s">
        <v>3325</v>
      </c>
      <c r="H373" s="25">
        <v>6213192.5999999996</v>
      </c>
      <c r="I373" s="6" t="str">
        <f>'[1]V, inciso p) (OP)'!AS178</f>
        <v>Colonia Copalita Poblado</v>
      </c>
      <c r="J373" s="6" t="str">
        <f>'[1]V, inciso p) (OP)'!T178</f>
        <v>KARLA MARIANA</v>
      </c>
      <c r="K373" s="6" t="str">
        <f>'[1]V, inciso p) (OP)'!U178</f>
        <v>MENDEZ</v>
      </c>
      <c r="L373" s="6" t="str">
        <f>'[1]V, inciso p) (OP)'!V178</f>
        <v>RODRIGUEZ</v>
      </c>
      <c r="M373" s="6" t="s">
        <v>3151</v>
      </c>
      <c r="N373" s="6" t="str">
        <f>'[1]V, inciso p) (OP)'!X178</f>
        <v>GFU021009BC1</v>
      </c>
      <c r="O373" s="11">
        <f t="shared" si="9"/>
        <v>6213192.5999999996</v>
      </c>
      <c r="P373" s="11">
        <v>5169571.08</v>
      </c>
      <c r="Q373" s="14" t="s">
        <v>824</v>
      </c>
      <c r="R373" s="15">
        <f>O373/350</f>
        <v>17751.978857142854</v>
      </c>
      <c r="S373" s="7" t="s">
        <v>41</v>
      </c>
      <c r="T373" s="12">
        <v>205</v>
      </c>
      <c r="U373" s="13" t="s">
        <v>42</v>
      </c>
      <c r="V373" s="7" t="s">
        <v>43</v>
      </c>
      <c r="W373" s="10">
        <v>42929</v>
      </c>
      <c r="X373" s="10">
        <v>43078</v>
      </c>
      <c r="Y373" s="7" t="s">
        <v>460</v>
      </c>
      <c r="Z373" s="7" t="s">
        <v>302</v>
      </c>
      <c r="AA373" s="7" t="s">
        <v>303</v>
      </c>
      <c r="AB373" s="21" t="s">
        <v>2630</v>
      </c>
      <c r="AC373" s="6" t="s">
        <v>2438</v>
      </c>
      <c r="AD373" s="6"/>
    </row>
    <row r="374" spans="1:30" ht="69.95" customHeight="1">
      <c r="A374" s="34">
        <v>94</v>
      </c>
      <c r="B374" s="7">
        <v>2017</v>
      </c>
      <c r="C374" s="7" t="s">
        <v>62</v>
      </c>
      <c r="D374" s="6" t="str">
        <f>'[1]V, inciso o) (OP)'!C205</f>
        <v>DOPI-MUN-FORTA-PROY-AD-094-2017</v>
      </c>
      <c r="E374" s="10">
        <f>'[1]V, inciso o) (OP)'!V205</f>
        <v>42886</v>
      </c>
      <c r="F374" s="6" t="str">
        <f>'[1]V, inciso o) (OP)'!AA205</f>
        <v>Estudios básicos topográficos para diferentes obras 2017, frente 1, del municipio de Zapopan, Jalisco.</v>
      </c>
      <c r="G374" s="6" t="s">
        <v>3322</v>
      </c>
      <c r="H374" s="25">
        <v>1110450.23</v>
      </c>
      <c r="I374" s="6" t="s">
        <v>1317</v>
      </c>
      <c r="J374" s="6" t="str">
        <f>'[1]V, inciso o) (OP)'!M205</f>
        <v>PATRICIA</v>
      </c>
      <c r="K374" s="6" t="str">
        <f>'[1]V, inciso o) (OP)'!N205</f>
        <v>NAMUR</v>
      </c>
      <c r="L374" s="6" t="str">
        <f>'[1]V, inciso o) (OP)'!O205</f>
        <v>MARTÍNEZ</v>
      </c>
      <c r="M374" s="6" t="s">
        <v>3152</v>
      </c>
      <c r="N374" s="6" t="str">
        <f>'[1]V, inciso o) (OP)'!Q205</f>
        <v>STE990210U51</v>
      </c>
      <c r="O374" s="11">
        <f t="shared" si="9"/>
        <v>1110450.23</v>
      </c>
      <c r="P374" s="11">
        <v>1110450.22</v>
      </c>
      <c r="Q374" s="7" t="s">
        <v>825</v>
      </c>
      <c r="R374" s="11">
        <f>O374/505839</f>
        <v>2.1952641650801934</v>
      </c>
      <c r="S374" s="7" t="s">
        <v>121</v>
      </c>
      <c r="T374" s="12" t="s">
        <v>121</v>
      </c>
      <c r="U374" s="13" t="s">
        <v>42</v>
      </c>
      <c r="V374" s="43" t="s">
        <v>43</v>
      </c>
      <c r="W374" s="10">
        <f>'[1]V, inciso o) (OP)'!AD205</f>
        <v>42887</v>
      </c>
      <c r="X374" s="10">
        <f>'[1]V, inciso o) (OP)'!AE205</f>
        <v>43039</v>
      </c>
      <c r="Y374" s="7" t="s">
        <v>358</v>
      </c>
      <c r="Z374" s="7" t="s">
        <v>592</v>
      </c>
      <c r="AA374" s="7" t="s">
        <v>135</v>
      </c>
      <c r="AB374" s="21" t="s">
        <v>1539</v>
      </c>
      <c r="AC374" s="6" t="s">
        <v>2438</v>
      </c>
      <c r="AD374" s="6"/>
    </row>
    <row r="375" spans="1:30" ht="69.95" customHeight="1">
      <c r="A375" s="34">
        <v>95</v>
      </c>
      <c r="B375" s="7">
        <v>2017</v>
      </c>
      <c r="C375" s="6" t="s">
        <v>139</v>
      </c>
      <c r="D375" s="6" t="str">
        <f>'[1]V, inciso p) (OP)'!D179</f>
        <v>DOPI-MUN-R33R-DS-CI-095-2017</v>
      </c>
      <c r="E375" s="10">
        <f>'[1]V, inciso p) (OP)'!AD179</f>
        <v>42985</v>
      </c>
      <c r="F375" s="6" t="str">
        <f>'[1]V, inciso p) (OP)'!AL179</f>
        <v>Construcción de red de drenaje en las calles: Daniel Macías, Andrés Jiménez, 12 de Octubre y Quirino Rivera en la colonia Villa de Guadalupe, municipio de Zapopan, Jalisco.</v>
      </c>
      <c r="G375" s="6" t="s">
        <v>3326</v>
      </c>
      <c r="H375" s="25">
        <v>3643505.99</v>
      </c>
      <c r="I375" s="6" t="str">
        <f>'[1]V, inciso p) (OP)'!AS179</f>
        <v>Col. Villa de Guadalupe</v>
      </c>
      <c r="J375" s="6" t="str">
        <f>'[1]V, inciso p) (OP)'!T179</f>
        <v>MELESIO</v>
      </c>
      <c r="K375" s="6" t="str">
        <f>'[1]V, inciso p) (OP)'!U179</f>
        <v>HERNÁNDEZ</v>
      </c>
      <c r="L375" s="6" t="str">
        <f>'[1]V, inciso p) (OP)'!V179</f>
        <v>MARTÍNEZ</v>
      </c>
      <c r="M375" s="6" t="s">
        <v>3153</v>
      </c>
      <c r="N375" s="6" t="str">
        <f>'[1]V, inciso p) (OP)'!X179</f>
        <v>CVI980213UM6</v>
      </c>
      <c r="O375" s="11">
        <f t="shared" si="9"/>
        <v>3643505.99</v>
      </c>
      <c r="P375" s="11">
        <v>3643497.41</v>
      </c>
      <c r="Q375" s="7" t="s">
        <v>826</v>
      </c>
      <c r="R375" s="11">
        <f>O375/663</f>
        <v>5495.484147812972</v>
      </c>
      <c r="S375" s="7" t="s">
        <v>41</v>
      </c>
      <c r="T375" s="12">
        <v>356</v>
      </c>
      <c r="U375" s="13" t="s">
        <v>42</v>
      </c>
      <c r="V375" s="7" t="s">
        <v>43</v>
      </c>
      <c r="W375" s="10">
        <f>'[1]V, inciso p) (OP)'!AM179</f>
        <v>42986</v>
      </c>
      <c r="X375" s="10">
        <f>'[1]V, inciso p) (OP)'!AN179</f>
        <v>43060</v>
      </c>
      <c r="Y375" s="7" t="s">
        <v>753</v>
      </c>
      <c r="Z375" s="7" t="s">
        <v>827</v>
      </c>
      <c r="AA375" s="7" t="s">
        <v>755</v>
      </c>
      <c r="AB375" s="21" t="s">
        <v>2631</v>
      </c>
      <c r="AC375" s="6" t="s">
        <v>2438</v>
      </c>
      <c r="AD375" s="6"/>
    </row>
    <row r="376" spans="1:30" ht="69.95" customHeight="1">
      <c r="A376" s="34">
        <v>96</v>
      </c>
      <c r="B376" s="7">
        <v>2017</v>
      </c>
      <c r="C376" s="6" t="s">
        <v>139</v>
      </c>
      <c r="D376" s="6" t="str">
        <f>'[1]V, inciso p) (OP)'!D180</f>
        <v>DOPI-MUN-R33-DS-CI-096-2017</v>
      </c>
      <c r="E376" s="10">
        <f>'[1]V, inciso p) (OP)'!AD180</f>
        <v>42929</v>
      </c>
      <c r="F376" s="6" t="str">
        <f>'[1]V, inciso p) (OP)'!AL180</f>
        <v>Construcción de Red de Drenaje y Agua potable en las calles de la Colonia Zapote II, municipio de Zapopan, Jalisco.</v>
      </c>
      <c r="G376" s="6" t="s">
        <v>3325</v>
      </c>
      <c r="H376" s="25">
        <v>4802027.43</v>
      </c>
      <c r="I376" s="6" t="str">
        <f>'[1]V, inciso p) (OP)'!AS180</f>
        <v>Colonia Zapote II</v>
      </c>
      <c r="J376" s="6" t="str">
        <f>'[1]V, inciso p) (OP)'!T180</f>
        <v xml:space="preserve"> BERNARDO </v>
      </c>
      <c r="K376" s="6" t="str">
        <f>'[1]V, inciso p) (OP)'!U180</f>
        <v xml:space="preserve">SAENZ </v>
      </c>
      <c r="L376" s="6" t="str">
        <f>'[1]V, inciso p) (OP)'!V180</f>
        <v>BARBA</v>
      </c>
      <c r="M376" s="6" t="s">
        <v>3154</v>
      </c>
      <c r="N376" s="6" t="str">
        <f>'[1]V, inciso p) (OP)'!X180</f>
        <v>GEM070112PX8</v>
      </c>
      <c r="O376" s="11">
        <f t="shared" si="9"/>
        <v>4802027.43</v>
      </c>
      <c r="P376" s="11">
        <v>4801871.43</v>
      </c>
      <c r="Q376" s="14" t="s">
        <v>828</v>
      </c>
      <c r="R376" s="15">
        <f>O376/715</f>
        <v>6716.122279720279</v>
      </c>
      <c r="S376" s="7" t="s">
        <v>41</v>
      </c>
      <c r="T376" s="12">
        <v>318</v>
      </c>
      <c r="U376" s="13" t="s">
        <v>42</v>
      </c>
      <c r="V376" s="43" t="s">
        <v>43</v>
      </c>
      <c r="W376" s="10">
        <v>42929</v>
      </c>
      <c r="X376" s="10">
        <v>43039</v>
      </c>
      <c r="Y376" s="7" t="s">
        <v>780</v>
      </c>
      <c r="Z376" s="7" t="s">
        <v>818</v>
      </c>
      <c r="AA376" s="7" t="s">
        <v>186</v>
      </c>
      <c r="AB376" s="21" t="s">
        <v>2632</v>
      </c>
      <c r="AC376" s="6" t="s">
        <v>2438</v>
      </c>
      <c r="AD376" s="6"/>
    </row>
    <row r="377" spans="1:30" ht="69.95" customHeight="1">
      <c r="A377" s="34">
        <v>97</v>
      </c>
      <c r="B377" s="7">
        <v>2017</v>
      </c>
      <c r="C377" s="6" t="s">
        <v>139</v>
      </c>
      <c r="D377" s="6" t="str">
        <f>'[1]V, inciso p) (OP)'!D181</f>
        <v>DOPI-MUN-R33R-DS-CI-097-2017</v>
      </c>
      <c r="E377" s="10">
        <f>'[1]V, inciso p) (OP)'!AD181</f>
        <v>42985</v>
      </c>
      <c r="F377" s="6" t="str">
        <f>'[1]V, inciso p) (OP)'!AL181</f>
        <v>Mejoramiento de Arroyo Seco entre las calles Puerto Tampico y Tezontle y rehabilitación de colector de aguas negras en la colonia Miramar Poniente, municipio de Zapopan, Jalisco.</v>
      </c>
      <c r="G377" s="6" t="s">
        <v>3326</v>
      </c>
      <c r="H377" s="25">
        <v>2995983.72</v>
      </c>
      <c r="I377" s="6" t="str">
        <f>'[1]V, inciso p) (OP)'!AS181</f>
        <v>Colonia Miramar Poniente</v>
      </c>
      <c r="J377" s="6" t="str">
        <f>'[1]V, inciso p) (OP)'!T181</f>
        <v>ELBA</v>
      </c>
      <c r="K377" s="6" t="str">
        <f>'[1]V, inciso p) (OP)'!U181</f>
        <v xml:space="preserve">GONZÁLEZ </v>
      </c>
      <c r="L377" s="6" t="str">
        <f>'[1]V, inciso p) (OP)'!V181</f>
        <v>AGUIRRE</v>
      </c>
      <c r="M377" s="6" t="s">
        <v>2089</v>
      </c>
      <c r="N377" s="6" t="str">
        <f>'[1]V, inciso p) (OP)'!X181</f>
        <v>GUR120612P22</v>
      </c>
      <c r="O377" s="11">
        <f t="shared" si="9"/>
        <v>2995983.72</v>
      </c>
      <c r="P377" s="11">
        <v>2995983.7199999997</v>
      </c>
      <c r="Q377" s="14" t="s">
        <v>829</v>
      </c>
      <c r="R377" s="15">
        <f>O377/155</f>
        <v>19328.927225806452</v>
      </c>
      <c r="S377" s="7" t="s">
        <v>41</v>
      </c>
      <c r="T377" s="12">
        <v>96</v>
      </c>
      <c r="U377" s="13" t="s">
        <v>42</v>
      </c>
      <c r="V377" s="7" t="s">
        <v>43</v>
      </c>
      <c r="W377" s="10">
        <f>'[1]V, inciso p) (OP)'!AM181</f>
        <v>42986</v>
      </c>
      <c r="X377" s="10">
        <f>'[1]V, inciso p) (OP)'!AN181</f>
        <v>43060</v>
      </c>
      <c r="Y377" s="7" t="s">
        <v>808</v>
      </c>
      <c r="Z377" s="7" t="s">
        <v>809</v>
      </c>
      <c r="AA377" s="7" t="s">
        <v>94</v>
      </c>
      <c r="AB377" s="21" t="s">
        <v>2633</v>
      </c>
      <c r="AC377" s="6" t="s">
        <v>2438</v>
      </c>
      <c r="AD377" s="6"/>
    </row>
    <row r="378" spans="1:30" ht="69.95" customHeight="1">
      <c r="A378" s="34">
        <v>98</v>
      </c>
      <c r="B378" s="7">
        <v>2017</v>
      </c>
      <c r="C378" s="6" t="s">
        <v>139</v>
      </c>
      <c r="D378" s="6" t="str">
        <f>'[1]V, inciso p) (OP)'!D182</f>
        <v>DOPI-MUN-RM-PAV-CI-098-2017</v>
      </c>
      <c r="E378" s="10">
        <f>'[1]V, inciso p) (OP)'!AD182</f>
        <v>42929</v>
      </c>
      <c r="F378" s="6" t="str">
        <f>'[1]V, inciso p) (OP)'!AL182</f>
        <v>Obra de pavimentación complementaria a solución vial de López Mateos y Periférico Sur, municipio de Zapopan, Jalisco.</v>
      </c>
      <c r="G378" s="6" t="s">
        <v>63</v>
      </c>
      <c r="H378" s="25">
        <v>5097355.1500000004</v>
      </c>
      <c r="I378" s="6" t="str">
        <f>'[1]V, inciso p) (OP)'!AS182</f>
        <v>Colonias La Calma, Loma Bonita y Las Aguilas</v>
      </c>
      <c r="J378" s="6" t="str">
        <f>'[1]V, inciso p) (OP)'!T182</f>
        <v>ANDRES EDUARDO</v>
      </c>
      <c r="K378" s="6" t="str">
        <f>'[1]V, inciso p) (OP)'!U182</f>
        <v>ACEVES</v>
      </c>
      <c r="L378" s="6" t="str">
        <f>'[1]V, inciso p) (OP)'!V182</f>
        <v>CASTAÑEDA</v>
      </c>
      <c r="M378" s="6" t="s">
        <v>1880</v>
      </c>
      <c r="N378" s="6" t="str">
        <f>'[1]V, inciso p) (OP)'!X182</f>
        <v>SCO100609EVA</v>
      </c>
      <c r="O378" s="11">
        <f t="shared" si="9"/>
        <v>5097355.1500000004</v>
      </c>
      <c r="P378" s="11">
        <v>4987684.67</v>
      </c>
      <c r="Q378" s="14" t="s">
        <v>830</v>
      </c>
      <c r="R378" s="15">
        <f>O378/812</f>
        <v>6277.5309729064047</v>
      </c>
      <c r="S378" s="7" t="s">
        <v>41</v>
      </c>
      <c r="T378" s="12">
        <v>1332272</v>
      </c>
      <c r="U378" s="13" t="s">
        <v>42</v>
      </c>
      <c r="V378" s="7" t="s">
        <v>43</v>
      </c>
      <c r="W378" s="10">
        <v>42929</v>
      </c>
      <c r="X378" s="10">
        <v>42988</v>
      </c>
      <c r="Y378" s="7" t="s">
        <v>780</v>
      </c>
      <c r="Z378" s="7" t="s">
        <v>730</v>
      </c>
      <c r="AA378" s="7" t="s">
        <v>831</v>
      </c>
      <c r="AB378" s="21" t="s">
        <v>2634</v>
      </c>
      <c r="AC378" s="6" t="s">
        <v>2438</v>
      </c>
      <c r="AD378" s="6"/>
    </row>
    <row r="379" spans="1:30" ht="69.95" customHeight="1">
      <c r="A379" s="34">
        <v>99</v>
      </c>
      <c r="B379" s="7">
        <v>2017</v>
      </c>
      <c r="C379" s="6" t="s">
        <v>139</v>
      </c>
      <c r="D379" s="6" t="str">
        <f>'[1]V, inciso p) (OP)'!D183</f>
        <v>DOPI-FED-FORTALECE-PAV-CI-099-2017</v>
      </c>
      <c r="E379" s="10">
        <f>'[1]V, inciso p) (OP)'!AD183</f>
        <v>42929</v>
      </c>
      <c r="F379" s="6" t="str">
        <f>'[1]V, inciso p) (OP)'!AL183</f>
        <v>Reencarpetamiento de la calle Prolongación Pino Suárez con asfalto, de Periférico a Boulevard del Rodeo, tramo 1, en la Colonia el Vigía, en el municipio de Zapopan, Jalisco.</v>
      </c>
      <c r="G379" s="6" t="s">
        <v>3323</v>
      </c>
      <c r="H379" s="25">
        <v>4135072.71</v>
      </c>
      <c r="I379" s="6" t="str">
        <f>'[1]V, inciso p) (OP)'!AS183</f>
        <v>Colonia el Vigía</v>
      </c>
      <c r="J379" s="6" t="str">
        <f>'[1]V, inciso p) (OP)'!T183</f>
        <v>JOEL</v>
      </c>
      <c r="K379" s="6" t="str">
        <f>'[1]V, inciso p) (OP)'!U183</f>
        <v>ZULOAGA</v>
      </c>
      <c r="L379" s="6" t="str">
        <f>'[1]V, inciso p) (OP)'!V183</f>
        <v>ACEVES</v>
      </c>
      <c r="M379" s="6" t="s">
        <v>3080</v>
      </c>
      <c r="N379" s="6" t="str">
        <f>'[1]V, inciso p) (OP)'!X183</f>
        <v>TSC100210E48</v>
      </c>
      <c r="O379" s="11">
        <f t="shared" si="9"/>
        <v>4135072.71</v>
      </c>
      <c r="P379" s="11">
        <v>3994190.3699999996</v>
      </c>
      <c r="Q379" s="14" t="s">
        <v>832</v>
      </c>
      <c r="R379" s="15">
        <f>O379/7080</f>
        <v>584.04981779661011</v>
      </c>
      <c r="S379" s="7" t="s">
        <v>41</v>
      </c>
      <c r="T379" s="12">
        <v>6413</v>
      </c>
      <c r="U379" s="13" t="s">
        <v>42</v>
      </c>
      <c r="V379" s="7" t="s">
        <v>43</v>
      </c>
      <c r="W379" s="10">
        <v>42929</v>
      </c>
      <c r="X379" s="10">
        <v>43003</v>
      </c>
      <c r="Y379" s="7" t="s">
        <v>411</v>
      </c>
      <c r="Z379" s="7" t="s">
        <v>412</v>
      </c>
      <c r="AA379" s="7" t="s">
        <v>413</v>
      </c>
      <c r="AB379" s="21" t="s">
        <v>2635</v>
      </c>
      <c r="AC379" s="6" t="s">
        <v>2438</v>
      </c>
      <c r="AD379" s="7"/>
    </row>
    <row r="380" spans="1:30" ht="69.95" customHeight="1">
      <c r="A380" s="34">
        <v>100</v>
      </c>
      <c r="B380" s="7">
        <v>2017</v>
      </c>
      <c r="C380" s="6" t="s">
        <v>139</v>
      </c>
      <c r="D380" s="6" t="str">
        <f>'[1]V, inciso p) (OP)'!D184</f>
        <v>DOPI-FED-FORTALECE-PAV-CI-100-2017</v>
      </c>
      <c r="E380" s="10">
        <f>'[1]V, inciso p) (OP)'!AD184</f>
        <v>42929</v>
      </c>
      <c r="F380" s="6" t="str">
        <f>'[1]V, inciso p) (OP)'!AL184</f>
        <v>Reencarpetamiento de la calle Melchor Ocampo con asfalto, de Periférico a Boulevard del Rodeo, tramo 1, en la colonia el Vigía, en el municipio de Zapopan, Jalisco.</v>
      </c>
      <c r="G380" s="6" t="s">
        <v>3323</v>
      </c>
      <c r="H380" s="25">
        <v>3953622.13</v>
      </c>
      <c r="I380" s="6" t="str">
        <f>'[1]V, inciso p) (OP)'!AS184</f>
        <v>Colonia el Vigía</v>
      </c>
      <c r="J380" s="6" t="str">
        <f>'[1]V, inciso p) (OP)'!T184</f>
        <v xml:space="preserve">ARTURO </v>
      </c>
      <c r="K380" s="6" t="str">
        <f>'[1]V, inciso p) (OP)'!U184</f>
        <v>MONTUFAR</v>
      </c>
      <c r="L380" s="6" t="str">
        <f>'[1]V, inciso p) (OP)'!V184</f>
        <v>NUÑEZ</v>
      </c>
      <c r="M380" s="6" t="s">
        <v>3155</v>
      </c>
      <c r="N380" s="6" t="str">
        <f>'[1]V, inciso p) (OP)'!X184</f>
        <v>VPC0012148K0</v>
      </c>
      <c r="O380" s="11">
        <f t="shared" si="9"/>
        <v>3953622.13</v>
      </c>
      <c r="P380" s="11">
        <v>3951673.29</v>
      </c>
      <c r="Q380" s="14" t="s">
        <v>833</v>
      </c>
      <c r="R380" s="15">
        <f>O380/5225</f>
        <v>756.67409186602868</v>
      </c>
      <c r="S380" s="7" t="s">
        <v>41</v>
      </c>
      <c r="T380" s="12">
        <v>6594</v>
      </c>
      <c r="U380" s="13" t="s">
        <v>42</v>
      </c>
      <c r="V380" s="43" t="s">
        <v>43</v>
      </c>
      <c r="W380" s="10">
        <v>42929</v>
      </c>
      <c r="X380" s="10">
        <v>43003</v>
      </c>
      <c r="Y380" s="7" t="s">
        <v>411</v>
      </c>
      <c r="Z380" s="7" t="s">
        <v>412</v>
      </c>
      <c r="AA380" s="7" t="s">
        <v>413</v>
      </c>
      <c r="AB380" s="21" t="s">
        <v>2636</v>
      </c>
      <c r="AC380" s="6" t="s">
        <v>2438</v>
      </c>
      <c r="AD380" s="6"/>
    </row>
    <row r="381" spans="1:30" ht="69.95" customHeight="1">
      <c r="A381" s="34">
        <v>101</v>
      </c>
      <c r="B381" s="7">
        <v>2017</v>
      </c>
      <c r="C381" s="6" t="s">
        <v>139</v>
      </c>
      <c r="D381" s="6" t="str">
        <f>'[1]V, inciso p) (OP)'!D185</f>
        <v>DOPI-FED-FORTALECE-PAV-CI-101-2017</v>
      </c>
      <c r="E381" s="10">
        <f>'[1]V, inciso p) (OP)'!AD185</f>
        <v>42929</v>
      </c>
      <c r="F381" s="6" t="str">
        <f>'[1]V, inciso p) (OP)'!AL185</f>
        <v>Construcción de la primera etapa (Reencarpetado) de Av. Acueducto, de Calzada Federalistas a Av. Guadalajara, en la colonia Real del Valle, en el municipio de Zapopan, Jalisco.</v>
      </c>
      <c r="G381" s="6" t="s">
        <v>3323</v>
      </c>
      <c r="H381" s="25">
        <v>6856820.5199999996</v>
      </c>
      <c r="I381" s="6" t="str">
        <f>'[1]V, inciso p) (OP)'!AS185</f>
        <v>Colonia Real del Valle</v>
      </c>
      <c r="J381" s="6" t="str">
        <f>'[1]V, inciso p) (OP)'!T185</f>
        <v>GUILLERMO</v>
      </c>
      <c r="K381" s="6" t="str">
        <f>'[1]V, inciso p) (OP)'!U185</f>
        <v>LARA</v>
      </c>
      <c r="L381" s="6" t="str">
        <f>'[1]V, inciso p) (OP)'!V185</f>
        <v>VARGAS</v>
      </c>
      <c r="M381" s="6" t="s">
        <v>2243</v>
      </c>
      <c r="N381" s="6" t="str">
        <f>'[1]V, inciso p) (OP)'!X185</f>
        <v>DGL060620SUA</v>
      </c>
      <c r="O381" s="11">
        <f t="shared" si="9"/>
        <v>6856820.5199999996</v>
      </c>
      <c r="P381" s="11">
        <v>6856820.5100000007</v>
      </c>
      <c r="Q381" s="14" t="s">
        <v>834</v>
      </c>
      <c r="R381" s="15">
        <f>O381/8317</f>
        <v>824.43435373331727</v>
      </c>
      <c r="S381" s="7" t="s">
        <v>41</v>
      </c>
      <c r="T381" s="12">
        <v>8045</v>
      </c>
      <c r="U381" s="13" t="s">
        <v>42</v>
      </c>
      <c r="V381" s="7" t="s">
        <v>43</v>
      </c>
      <c r="W381" s="10">
        <v>42929</v>
      </c>
      <c r="X381" s="10">
        <v>43003</v>
      </c>
      <c r="Y381" s="7" t="s">
        <v>360</v>
      </c>
      <c r="Z381" s="7" t="s">
        <v>361</v>
      </c>
      <c r="AA381" s="7" t="s">
        <v>362</v>
      </c>
      <c r="AB381" s="21" t="s">
        <v>2637</v>
      </c>
      <c r="AC381" s="6" t="s">
        <v>2438</v>
      </c>
      <c r="AD381" s="7"/>
    </row>
    <row r="382" spans="1:30" ht="69.95" customHeight="1">
      <c r="A382" s="34">
        <v>102</v>
      </c>
      <c r="B382" s="7">
        <v>2017</v>
      </c>
      <c r="C382" s="6" t="s">
        <v>139</v>
      </c>
      <c r="D382" s="6" t="str">
        <f>'[1]V, inciso p) (OP)'!D186</f>
        <v>DOPI-FED-FORTALECE-PAV-CI-102-2017</v>
      </c>
      <c r="E382" s="10">
        <f>'[1]V, inciso p) (OP)'!AD186</f>
        <v>42929</v>
      </c>
      <c r="F382" s="6" t="str">
        <f>'[1]V, inciso p) (OP)'!AL186</f>
        <v>Construcción de la calle Prolongación Acueducto con asfalto de Calzada Federalistas (Av. del Valle) a Calzada Federalistas, en la Zona de Santa Margarita (Segunda Etapa), en el municipio de Zapopan, Jalisco.</v>
      </c>
      <c r="G382" s="6" t="s">
        <v>3323</v>
      </c>
      <c r="H382" s="25">
        <v>7384779.4800000004</v>
      </c>
      <c r="I382" s="6" t="str">
        <f>'[1]V, inciso p) (OP)'!AS186</f>
        <v>Colonia Santa Margarita</v>
      </c>
      <c r="J382" s="6" t="str">
        <f>'[1]V, inciso p) (OP)'!T186</f>
        <v>JOSE ANTONIO</v>
      </c>
      <c r="K382" s="6" t="str">
        <f>'[1]V, inciso p) (OP)'!U186</f>
        <v>ALVAREZ</v>
      </c>
      <c r="L382" s="6" t="str">
        <f>'[1]V, inciso p) (OP)'!V186</f>
        <v>GARCIA</v>
      </c>
      <c r="M382" s="6" t="s">
        <v>3156</v>
      </c>
      <c r="N382" s="6" t="str">
        <f>'[1]V, inciso p) (OP)'!X186</f>
        <v>UMN160125869</v>
      </c>
      <c r="O382" s="11">
        <f t="shared" si="9"/>
        <v>7384779.4800000004</v>
      </c>
      <c r="P382" s="11">
        <v>7384779.4900000002</v>
      </c>
      <c r="Q382" s="14" t="s">
        <v>835</v>
      </c>
      <c r="R382" s="15">
        <f>O382/7420</f>
        <v>995.25329919137471</v>
      </c>
      <c r="S382" s="7" t="s">
        <v>41</v>
      </c>
      <c r="T382" s="12">
        <v>8045</v>
      </c>
      <c r="U382" s="13" t="s">
        <v>42</v>
      </c>
      <c r="V382" s="43" t="s">
        <v>43</v>
      </c>
      <c r="W382" s="10">
        <v>42929</v>
      </c>
      <c r="X382" s="10">
        <v>43003</v>
      </c>
      <c r="Y382" s="7" t="s">
        <v>360</v>
      </c>
      <c r="Z382" s="7" t="s">
        <v>361</v>
      </c>
      <c r="AA382" s="7" t="s">
        <v>362</v>
      </c>
      <c r="AB382" s="21" t="s">
        <v>2638</v>
      </c>
      <c r="AC382" s="6" t="s">
        <v>2438</v>
      </c>
      <c r="AD382" s="6"/>
    </row>
    <row r="383" spans="1:30" ht="69.95" customHeight="1">
      <c r="A383" s="34">
        <v>103</v>
      </c>
      <c r="B383" s="7">
        <v>2017</v>
      </c>
      <c r="C383" s="6" t="s">
        <v>31</v>
      </c>
      <c r="D383" s="6" t="str">
        <f>'[1]V, inciso p) (OP)'!D187</f>
        <v>DOPI-FED-PR-PAV-LP-103-2017</v>
      </c>
      <c r="E383" s="10">
        <f>'[1]V, inciso p) (OP)'!AD187</f>
        <v>42972</v>
      </c>
      <c r="F383" s="6" t="str">
        <f>'[1]V, inciso p) (OP)'!AL187</f>
        <v>Construcción de la calle Deli con concreto hidráulico de calle Ozomatli a calle Acatl, en la zona de la Mesa Colorada (segunda etapa), en el municipio de Zapopan, Jalisco.</v>
      </c>
      <c r="G383" s="6" t="s">
        <v>3327</v>
      </c>
      <c r="H383" s="25">
        <v>4097562.96</v>
      </c>
      <c r="I383" s="6" t="str">
        <f>'[1]V, inciso p) (OP)'!AS187</f>
        <v>Col. Mesa Colorada</v>
      </c>
      <c r="J383" s="6" t="str">
        <f>'[1]V, inciso p) (OP)'!T187</f>
        <v>CARLOS ALBERTO</v>
      </c>
      <c r="K383" s="6" t="str">
        <f>'[1]V, inciso p) (OP)'!U187</f>
        <v>VALENCIA</v>
      </c>
      <c r="L383" s="6" t="str">
        <f>'[1]V, inciso p) (OP)'!V187</f>
        <v>MENCHACA</v>
      </c>
      <c r="M383" s="6" t="s">
        <v>3157</v>
      </c>
      <c r="N383" s="6" t="str">
        <f>'[1]V, inciso p) (OP)'!X187</f>
        <v>CAU980304DC0</v>
      </c>
      <c r="O383" s="11">
        <f t="shared" si="9"/>
        <v>4097562.96</v>
      </c>
      <c r="P383" s="11">
        <v>4097562.9800000004</v>
      </c>
      <c r="Q383" s="14" t="s">
        <v>836</v>
      </c>
      <c r="R383" s="15">
        <f>O383/1734</f>
        <v>2363.0697577854671</v>
      </c>
      <c r="S383" s="7" t="s">
        <v>41</v>
      </c>
      <c r="T383" s="12">
        <v>1243</v>
      </c>
      <c r="U383" s="13" t="s">
        <v>42</v>
      </c>
      <c r="V383" s="43" t="s">
        <v>43</v>
      </c>
      <c r="W383" s="10">
        <f>'[1]V, inciso p) (OP)'!AM187</f>
        <v>42973</v>
      </c>
      <c r="X383" s="10">
        <f>'[1]V, inciso p) (OP)'!AN187</f>
        <v>43095</v>
      </c>
      <c r="Y383" s="7" t="s">
        <v>345</v>
      </c>
      <c r="Z383" s="7" t="s">
        <v>346</v>
      </c>
      <c r="AA383" s="7" t="s">
        <v>347</v>
      </c>
      <c r="AB383" s="21" t="s">
        <v>2639</v>
      </c>
      <c r="AC383" s="6" t="s">
        <v>2438</v>
      </c>
      <c r="AD383" s="6"/>
    </row>
    <row r="384" spans="1:30" ht="69.95" customHeight="1">
      <c r="A384" s="34">
        <v>104</v>
      </c>
      <c r="B384" s="7">
        <v>2017</v>
      </c>
      <c r="C384" s="6" t="s">
        <v>31</v>
      </c>
      <c r="D384" s="6" t="str">
        <f>'[1]V, inciso p) (OP)'!D188</f>
        <v>DOPI-FED-PR-PAV-LP-104-2017</v>
      </c>
      <c r="E384" s="10">
        <f>'[1]V, inciso p) (OP)'!AD188</f>
        <v>42972</v>
      </c>
      <c r="F384" s="6" t="str">
        <f>'[1]V, inciso p) (OP)'!AL188</f>
        <v>Construcción de la calle Ocampo con concreto hidráulico de Av. Aviación a calle Independencia, en la zona de San Juan de Ocotan (segunda etapa), en el municipio de Zapopan, Jalisco.</v>
      </c>
      <c r="G384" s="6" t="s">
        <v>3327</v>
      </c>
      <c r="H384" s="25">
        <v>4944904.5900000008</v>
      </c>
      <c r="I384" s="6" t="str">
        <f>'[1]V, inciso p) (OP)'!AS188</f>
        <v>San Juan de Ocotán</v>
      </c>
      <c r="J384" s="6" t="str">
        <f>'[1]V, inciso p) (OP)'!T188</f>
        <v>JUAN JOSÉ</v>
      </c>
      <c r="K384" s="6" t="str">
        <f>'[1]V, inciso p) (OP)'!U188</f>
        <v>GUTIÉRREZ</v>
      </c>
      <c r="L384" s="6" t="str">
        <f>'[1]V, inciso p) (OP)'!V188</f>
        <v>CONTRERAS</v>
      </c>
      <c r="M384" s="6" t="s">
        <v>3158</v>
      </c>
      <c r="N384" s="6" t="str">
        <f>'[1]V, inciso p) (OP)'!X188</f>
        <v>RCO130920JX9</v>
      </c>
      <c r="O384" s="11">
        <f t="shared" si="9"/>
        <v>4944904.5900000008</v>
      </c>
      <c r="P384" s="11">
        <v>4944901.95</v>
      </c>
      <c r="Q384" s="14" t="s">
        <v>837</v>
      </c>
      <c r="R384" s="15">
        <f>O384/2120</f>
        <v>2332.5021650943399</v>
      </c>
      <c r="S384" s="7" t="s">
        <v>41</v>
      </c>
      <c r="T384" s="12">
        <v>3651</v>
      </c>
      <c r="U384" s="13" t="s">
        <v>42</v>
      </c>
      <c r="V384" s="7" t="s">
        <v>43</v>
      </c>
      <c r="W384" s="10">
        <f>'[1]V, inciso p) (OP)'!AM188</f>
        <v>42972</v>
      </c>
      <c r="X384" s="10">
        <f>'[1]V, inciso p) (OP)'!AN188</f>
        <v>43110</v>
      </c>
      <c r="Y384" s="7" t="s">
        <v>838</v>
      </c>
      <c r="Z384" s="7" t="s">
        <v>572</v>
      </c>
      <c r="AA384" s="7" t="s">
        <v>573</v>
      </c>
      <c r="AB384" s="21" t="s">
        <v>2906</v>
      </c>
      <c r="AC384" s="6" t="s">
        <v>2438</v>
      </c>
      <c r="AD384" s="7"/>
    </row>
    <row r="385" spans="1:30" ht="69.95" customHeight="1">
      <c r="A385" s="34">
        <v>105</v>
      </c>
      <c r="B385" s="7">
        <v>2017</v>
      </c>
      <c r="C385" s="6" t="s">
        <v>31</v>
      </c>
      <c r="D385" s="6" t="str">
        <f>'[1]V, inciso p) (OP)'!D189</f>
        <v>DOPI-FED-PR-PAV-LP-105-2017</v>
      </c>
      <c r="E385" s="10">
        <f>'[1]V, inciso p) (OP)'!AD189</f>
        <v>42972</v>
      </c>
      <c r="F385" s="6" t="str">
        <f>'[1]V, inciso p) (OP)'!AL189</f>
        <v>Pavimentación con concreto hidráulico de la lateral de Avenida Vallarta, entre la Avenida Juan Palomar y Arias y Anillo Periférico, en el municipio de Zapopan, Jalisco.</v>
      </c>
      <c r="G385" s="6" t="s">
        <v>3327</v>
      </c>
      <c r="H385" s="25">
        <v>7120800</v>
      </c>
      <c r="I385" s="6" t="str">
        <f>'[1]V, inciso p) (OP)'!AS189</f>
        <v>Col. Rinconada del Bosque</v>
      </c>
      <c r="J385" s="6" t="str">
        <f>'[1]V, inciso p) (OP)'!T189</f>
        <v>SERGIO CESAR</v>
      </c>
      <c r="K385" s="6" t="str">
        <f>'[1]V, inciso p) (OP)'!U189</f>
        <v>DÍAZ</v>
      </c>
      <c r="L385" s="6" t="str">
        <f>'[1]V, inciso p) (OP)'!V189</f>
        <v>QUIROZ</v>
      </c>
      <c r="M385" s="6" t="s">
        <v>1827</v>
      </c>
      <c r="N385" s="6" t="str">
        <f>'[1]V, inciso p) (OP)'!X189</f>
        <v>TRA750528286</v>
      </c>
      <c r="O385" s="11">
        <f t="shared" si="9"/>
        <v>7120800</v>
      </c>
      <c r="P385" s="11">
        <v>7120800.0000000009</v>
      </c>
      <c r="Q385" s="14" t="s">
        <v>839</v>
      </c>
      <c r="R385" s="15">
        <f>O385/4746</f>
        <v>1500.3792667509481</v>
      </c>
      <c r="S385" s="7" t="s">
        <v>41</v>
      </c>
      <c r="T385" s="12">
        <v>1332272</v>
      </c>
      <c r="U385" s="13" t="s">
        <v>42</v>
      </c>
      <c r="V385" s="43" t="s">
        <v>43</v>
      </c>
      <c r="W385" s="10">
        <f>'[1]V, inciso p) (OP)'!AM189</f>
        <v>42973</v>
      </c>
      <c r="X385" s="10">
        <f>'[1]V, inciso p) (OP)'!AN189</f>
        <v>43095</v>
      </c>
      <c r="Y385" s="7" t="s">
        <v>380</v>
      </c>
      <c r="Z385" s="7" t="s">
        <v>45</v>
      </c>
      <c r="AA385" s="7" t="s">
        <v>46</v>
      </c>
      <c r="AB385" s="21" t="s">
        <v>2640</v>
      </c>
      <c r="AC385" s="6" t="s">
        <v>2438</v>
      </c>
      <c r="AD385" s="6"/>
    </row>
    <row r="386" spans="1:30" ht="69.95" customHeight="1">
      <c r="A386" s="34">
        <v>106</v>
      </c>
      <c r="B386" s="7">
        <v>2017</v>
      </c>
      <c r="C386" s="6" t="s">
        <v>31</v>
      </c>
      <c r="D386" s="6" t="str">
        <f>'[1]V, inciso p) (OP)'!D190</f>
        <v>DOPI-FED-PR-PAV-LP-106-2017</v>
      </c>
      <c r="E386" s="10">
        <f>'[1]V, inciso p) (OP)'!AD190</f>
        <v>42972</v>
      </c>
      <c r="F386" s="6" t="str">
        <f>'[1]V, inciso p) (OP)'!AL190</f>
        <v>Construcción de la calle Ing. Alberto Mora López con concreto hidráulico de calle Elote a calle Ing. Alfonso Padilla, en la zona de la Mesa Colorada (segunda etapa), en el municipio de Zapopan, Jalisco.</v>
      </c>
      <c r="G386" s="6" t="s">
        <v>3327</v>
      </c>
      <c r="H386" s="25">
        <v>1167018.1000000001</v>
      </c>
      <c r="I386" s="6" t="str">
        <f>'[1]V, inciso p) (OP)'!AS190</f>
        <v>Col. Mesa Colorada</v>
      </c>
      <c r="J386" s="6" t="str">
        <f>'[1]V, inciso p) (OP)'!T190</f>
        <v>JAVIER</v>
      </c>
      <c r="K386" s="6" t="str">
        <f>'[1]V, inciso p) (OP)'!U190</f>
        <v>CAÑEDO</v>
      </c>
      <c r="L386" s="6" t="str">
        <f>'[1]V, inciso p) (OP)'!V190</f>
        <v>ORTEGA</v>
      </c>
      <c r="M386" s="6" t="s">
        <v>3159</v>
      </c>
      <c r="N386" s="6" t="str">
        <f>'[1]V, inciso p) (OP)'!X190</f>
        <v>CTO061116F61</v>
      </c>
      <c r="O386" s="11">
        <f t="shared" si="9"/>
        <v>1167018.1000000001</v>
      </c>
      <c r="P386" s="11">
        <v>1167018.1000000001</v>
      </c>
      <c r="Q386" s="14" t="s">
        <v>840</v>
      </c>
      <c r="R386" s="15">
        <f>O386/441</f>
        <v>2646.2995464852611</v>
      </c>
      <c r="S386" s="7" t="s">
        <v>41</v>
      </c>
      <c r="T386" s="12">
        <v>1433</v>
      </c>
      <c r="U386" s="13" t="s">
        <v>42</v>
      </c>
      <c r="V386" s="7" t="s">
        <v>43</v>
      </c>
      <c r="W386" s="10">
        <f>'[1]V, inciso p) (OP)'!AM190</f>
        <v>42973</v>
      </c>
      <c r="X386" s="10">
        <f>'[1]V, inciso p) (OP)'!AN190</f>
        <v>43095</v>
      </c>
      <c r="Y386" s="7" t="s">
        <v>345</v>
      </c>
      <c r="Z386" s="7" t="s">
        <v>346</v>
      </c>
      <c r="AA386" s="7" t="s">
        <v>347</v>
      </c>
      <c r="AB386" s="21" t="s">
        <v>2641</v>
      </c>
      <c r="AC386" s="6" t="s">
        <v>2438</v>
      </c>
      <c r="AD386" s="7"/>
    </row>
    <row r="387" spans="1:30" ht="69.95" customHeight="1">
      <c r="A387" s="34">
        <v>107</v>
      </c>
      <c r="B387" s="7">
        <v>2017</v>
      </c>
      <c r="C387" s="6" t="s">
        <v>31</v>
      </c>
      <c r="D387" s="6" t="str">
        <f>'[1]V, inciso p) (OP)'!D191</f>
        <v>DOPI-FED-PR-PAV-LP-107-2017</v>
      </c>
      <c r="E387" s="10">
        <f>'[1]V, inciso p) (OP)'!AD191</f>
        <v>42972</v>
      </c>
      <c r="F387" s="6" t="str">
        <f>'[1]V, inciso p) (OP)'!AL191</f>
        <v>Construcción de la calle Prolongación Acueducto con concreto hidráulico de Av. Santa Margarita a Av. Santa Esther, en la zona de Santa Margarita (segunda etapa), en el municipio de Zapopan, Jalisco.</v>
      </c>
      <c r="G387" s="6" t="s">
        <v>3327</v>
      </c>
      <c r="H387" s="25">
        <v>8344304.7599999998</v>
      </c>
      <c r="I387" s="6" t="str">
        <f>'[1]V, inciso p) (OP)'!AS191</f>
        <v>Col. Santa Margarita</v>
      </c>
      <c r="J387" s="6" t="str">
        <f>'[1]V, inciso p) (OP)'!T191</f>
        <v>CARLOS IGNACIO</v>
      </c>
      <c r="K387" s="6" t="str">
        <f>'[1]V, inciso p) (OP)'!U191</f>
        <v>CURIEL</v>
      </c>
      <c r="L387" s="6" t="str">
        <f>'[1]V, inciso p) (OP)'!V191</f>
        <v>DUEÑAS</v>
      </c>
      <c r="M387" s="6" t="s">
        <v>1987</v>
      </c>
      <c r="N387" s="6" t="str">
        <f>'[1]V, inciso p) (OP)'!X191</f>
        <v>CCE130723IR7</v>
      </c>
      <c r="O387" s="11">
        <f t="shared" si="9"/>
        <v>8344304.7599999998</v>
      </c>
      <c r="P387" s="11">
        <v>8344304.7600000007</v>
      </c>
      <c r="Q387" s="14" t="s">
        <v>841</v>
      </c>
      <c r="R387" s="15">
        <f>O387/3145</f>
        <v>2653.1970620031798</v>
      </c>
      <c r="S387" s="7" t="s">
        <v>41</v>
      </c>
      <c r="T387" s="12">
        <v>12665</v>
      </c>
      <c r="U387" s="13" t="s">
        <v>42</v>
      </c>
      <c r="V387" s="7" t="s">
        <v>43</v>
      </c>
      <c r="W387" s="10">
        <f>'[1]V, inciso p) (OP)'!AM191</f>
        <v>42973</v>
      </c>
      <c r="X387" s="10">
        <f>'[1]V, inciso p) (OP)'!AN191</f>
        <v>43095</v>
      </c>
      <c r="Y387" s="7" t="s">
        <v>360</v>
      </c>
      <c r="Z387" s="7" t="s">
        <v>361</v>
      </c>
      <c r="AA387" s="7" t="s">
        <v>362</v>
      </c>
      <c r="AB387" s="21" t="s">
        <v>2642</v>
      </c>
      <c r="AC387" s="6" t="s">
        <v>2438</v>
      </c>
      <c r="AD387" s="7"/>
    </row>
    <row r="388" spans="1:30" ht="69.95" customHeight="1">
      <c r="A388" s="34">
        <v>108</v>
      </c>
      <c r="B388" s="7">
        <v>2017</v>
      </c>
      <c r="C388" s="6" t="s">
        <v>31</v>
      </c>
      <c r="D388" s="6" t="str">
        <f>'[1]V, inciso p) (OP)'!D192</f>
        <v>DOPI-FED-PR-PAV-LP-108-2017</v>
      </c>
      <c r="E388" s="10">
        <f>'[1]V, inciso p) (OP)'!AD192</f>
        <v>42972</v>
      </c>
      <c r="F388" s="6" t="str">
        <f>'[1]V, inciso p) (OP)'!AL192</f>
        <v>Construcción de la calle Ozomatli con concreto hidráulico de calle Cholollan a calle Deli, en la zona de la Mesa Colorada (segunda etapa), en el municipio de Zapopan, Jalisco.</v>
      </c>
      <c r="G388" s="6" t="s">
        <v>3327</v>
      </c>
      <c r="H388" s="25">
        <v>5836943.9499999993</v>
      </c>
      <c r="I388" s="6" t="str">
        <f>'[1]V, inciso p) (OP)'!AS192</f>
        <v>Col. Mesa Colorada</v>
      </c>
      <c r="J388" s="6" t="str">
        <f>'[1]V, inciso p) (OP)'!T192</f>
        <v>ARTURO</v>
      </c>
      <c r="K388" s="6" t="str">
        <f>'[1]V, inciso p) (OP)'!U192</f>
        <v>SARMIENTO</v>
      </c>
      <c r="L388" s="6" t="str">
        <f>'[1]V, inciso p) (OP)'!V192</f>
        <v>SÁNCHEZ</v>
      </c>
      <c r="M388" s="6" t="s">
        <v>2068</v>
      </c>
      <c r="N388" s="6" t="str">
        <f>'[1]V, inciso p) (OP)'!X192</f>
        <v>CON020208696</v>
      </c>
      <c r="O388" s="11">
        <f t="shared" si="9"/>
        <v>5836943.9499999993</v>
      </c>
      <c r="P388" s="11">
        <v>5545096.75</v>
      </c>
      <c r="Q388" s="14" t="s">
        <v>842</v>
      </c>
      <c r="R388" s="15">
        <f>O388/2112</f>
        <v>2763.7045217803025</v>
      </c>
      <c r="S388" s="7" t="s">
        <v>41</v>
      </c>
      <c r="T388" s="12">
        <v>2036</v>
      </c>
      <c r="U388" s="13" t="s">
        <v>42</v>
      </c>
      <c r="V388" s="7" t="s">
        <v>43</v>
      </c>
      <c r="W388" s="10">
        <f>'[1]V, inciso p) (OP)'!AM192</f>
        <v>42973</v>
      </c>
      <c r="X388" s="10">
        <f>'[1]V, inciso p) (OP)'!AN192</f>
        <v>43095</v>
      </c>
      <c r="Y388" s="7" t="s">
        <v>345</v>
      </c>
      <c r="Z388" s="7" t="s">
        <v>346</v>
      </c>
      <c r="AA388" s="7" t="s">
        <v>347</v>
      </c>
      <c r="AB388" s="21" t="s">
        <v>2643</v>
      </c>
      <c r="AC388" s="6" t="s">
        <v>2438</v>
      </c>
      <c r="AD388" s="7"/>
    </row>
    <row r="389" spans="1:30" ht="69.95" customHeight="1">
      <c r="A389" s="34">
        <v>109</v>
      </c>
      <c r="B389" s="7">
        <v>2017</v>
      </c>
      <c r="C389" s="6" t="s">
        <v>31</v>
      </c>
      <c r="D389" s="6" t="str">
        <f>'[1]V, inciso p) (OP)'!D193</f>
        <v>DOPI-FED-PR-PAV-LP-109-2017</v>
      </c>
      <c r="E389" s="10">
        <f>'[1]V, inciso p) (OP)'!AD193</f>
        <v>42972</v>
      </c>
      <c r="F389" s="6" t="str">
        <f>'[1]V, inciso p) (OP)'!AL193</f>
        <v>Construcción de la calle Ocampo con concreto hidráulico de calle Independencia a calle Parral, en la zona de San Juan de Ocotan (segunda etapa), en el municipio de Zapopan, Jalisco.</v>
      </c>
      <c r="G389" s="6" t="s">
        <v>3327</v>
      </c>
      <c r="H389" s="25">
        <v>4728157.01</v>
      </c>
      <c r="I389" s="6" t="str">
        <f>'[1]V, inciso p) (OP)'!AS193</f>
        <v>San Juan de Ocotán</v>
      </c>
      <c r="J389" s="6" t="str">
        <f>'[1]V, inciso p) (OP)'!T193</f>
        <v>FRANCISCO JAVIER</v>
      </c>
      <c r="K389" s="6" t="str">
        <f>'[1]V, inciso p) (OP)'!U193</f>
        <v>DÍAZ</v>
      </c>
      <c r="L389" s="6" t="str">
        <f>'[1]V, inciso p) (OP)'!V193</f>
        <v>RUÍZ</v>
      </c>
      <c r="M389" s="6" t="s">
        <v>2083</v>
      </c>
      <c r="N389" s="6" t="str">
        <f>'[1]V, inciso p) (OP)'!X193</f>
        <v>CDI950714B79</v>
      </c>
      <c r="O389" s="11">
        <f t="shared" si="9"/>
        <v>4728157.01</v>
      </c>
      <c r="P389" s="11">
        <v>4728157.01</v>
      </c>
      <c r="Q389" s="14" t="s">
        <v>843</v>
      </c>
      <c r="R389" s="15">
        <f>O389/2238</f>
        <v>2112.6706925826629</v>
      </c>
      <c r="S389" s="7" t="s">
        <v>41</v>
      </c>
      <c r="T389" s="12">
        <f>T384</f>
        <v>3651</v>
      </c>
      <c r="U389" s="13" t="s">
        <v>42</v>
      </c>
      <c r="V389" s="7" t="s">
        <v>43</v>
      </c>
      <c r="W389" s="10">
        <f>'[1]V, inciso p) (OP)'!AM193</f>
        <v>42973</v>
      </c>
      <c r="X389" s="10">
        <f>'[1]V, inciso p) (OP)'!AN193</f>
        <v>43095</v>
      </c>
      <c r="Y389" s="7" t="s">
        <v>838</v>
      </c>
      <c r="Z389" s="7" t="s">
        <v>572</v>
      </c>
      <c r="AA389" s="7" t="s">
        <v>573</v>
      </c>
      <c r="AB389" s="21" t="s">
        <v>2644</v>
      </c>
      <c r="AC389" s="6" t="s">
        <v>2438</v>
      </c>
      <c r="AD389" s="6"/>
    </row>
    <row r="390" spans="1:30" ht="69.95" customHeight="1">
      <c r="A390" s="34">
        <v>110</v>
      </c>
      <c r="B390" s="7">
        <v>2017</v>
      </c>
      <c r="C390" s="6" t="s">
        <v>31</v>
      </c>
      <c r="D390" s="6" t="str">
        <f>'[1]V, inciso p) (OP)'!D194</f>
        <v>DOPI-FED-PR-PAV-LP-110-2017</v>
      </c>
      <c r="E390" s="10">
        <f>'[1]V, inciso p) (OP)'!AD194</f>
        <v>42972</v>
      </c>
      <c r="F390" s="6" t="str">
        <f>'[1]V, inciso p) (OP)'!AL194</f>
        <v>Construcción de la calle Tulipanes con concreto hidráulico de Prolongación Acueducto a Av. Santa Margarita, en la zona de Santa Margarita (segunda etapa), en el municipio de Zapopan, Jalisco.</v>
      </c>
      <c r="G390" s="6" t="s">
        <v>3327</v>
      </c>
      <c r="H390" s="25">
        <v>4477432.29</v>
      </c>
      <c r="I390" s="6" t="str">
        <f>'[1]V, inciso p) (OP)'!AS194</f>
        <v>Col. Santa Margarita</v>
      </c>
      <c r="J390" s="6" t="str">
        <f>'[1]V, inciso p) (OP)'!T194</f>
        <v>HAYDEE LILIANA</v>
      </c>
      <c r="K390" s="6" t="str">
        <f>'[1]V, inciso p) (OP)'!U194</f>
        <v>AGUILAR</v>
      </c>
      <c r="L390" s="6" t="str">
        <f>'[1]V, inciso p) (OP)'!V194</f>
        <v>CASSIAN</v>
      </c>
      <c r="M390" s="6" t="s">
        <v>1690</v>
      </c>
      <c r="N390" s="6" t="str">
        <f>'[1]V, inciso p) (OP)'!X194</f>
        <v>EDM970225I68</v>
      </c>
      <c r="O390" s="11">
        <f t="shared" si="9"/>
        <v>4477432.29</v>
      </c>
      <c r="P390" s="11">
        <v>3943001.5599999996</v>
      </c>
      <c r="Q390" s="14" t="s">
        <v>844</v>
      </c>
      <c r="R390" s="15">
        <f>O390/1973</f>
        <v>2269.3524024328435</v>
      </c>
      <c r="S390" s="7" t="s">
        <v>41</v>
      </c>
      <c r="T390" s="12">
        <v>7422</v>
      </c>
      <c r="U390" s="13" t="s">
        <v>42</v>
      </c>
      <c r="V390" s="7" t="s">
        <v>43</v>
      </c>
      <c r="W390" s="10">
        <f>'[1]V, inciso p) (OP)'!AM194</f>
        <v>42973</v>
      </c>
      <c r="X390" s="10">
        <f>'[1]V, inciso p) (OP)'!AN194</f>
        <v>43095</v>
      </c>
      <c r="Y390" s="7" t="s">
        <v>360</v>
      </c>
      <c r="Z390" s="7" t="s">
        <v>361</v>
      </c>
      <c r="AA390" s="7" t="s">
        <v>362</v>
      </c>
      <c r="AB390" s="21" t="s">
        <v>2645</v>
      </c>
      <c r="AC390" s="6" t="s">
        <v>2438</v>
      </c>
      <c r="AD390" s="6"/>
    </row>
    <row r="391" spans="1:30" ht="69.95" customHeight="1">
      <c r="A391" s="34">
        <v>111</v>
      </c>
      <c r="B391" s="7">
        <v>2017</v>
      </c>
      <c r="C391" s="6" t="s">
        <v>31</v>
      </c>
      <c r="D391" s="6" t="str">
        <f>'[1]V, inciso p) (OP)'!D195</f>
        <v>DOPI-FED-PR-PAV-LP-111-2017</v>
      </c>
      <c r="E391" s="10">
        <f>'[1]V, inciso p) (OP)'!AD195</f>
        <v>42972</v>
      </c>
      <c r="F391" s="6" t="str">
        <f>'[1]V, inciso p) (OP)'!AL195</f>
        <v>Construcción de la calle Magnolia con concreto hidráulico de Prolongación Acueducto a Av. Santa Margarita, en la zona de Santa Margarita (segunda etapa), en el municipio de Zapopan, Jalisco.</v>
      </c>
      <c r="G391" s="6" t="s">
        <v>3327</v>
      </c>
      <c r="H391" s="25">
        <v>6757768.5199999996</v>
      </c>
      <c r="I391" s="6" t="str">
        <f>'[1]V, inciso p) (OP)'!AS195</f>
        <v>Col. Santa Margarita</v>
      </c>
      <c r="J391" s="6" t="str">
        <f>'[1]V, inciso p) (OP)'!T195</f>
        <v>ANDRÉS EDUARDO</v>
      </c>
      <c r="K391" s="6" t="str">
        <f>'[1]V, inciso p) (OP)'!U195</f>
        <v>ACEVES</v>
      </c>
      <c r="L391" s="6" t="str">
        <f>'[1]V, inciso p) (OP)'!V195</f>
        <v>CASTAÑEDA</v>
      </c>
      <c r="M391" s="6" t="s">
        <v>1880</v>
      </c>
      <c r="N391" s="6" t="str">
        <f>'[1]V, inciso p) (OP)'!X195</f>
        <v>SCO100609EVA</v>
      </c>
      <c r="O391" s="11">
        <f t="shared" si="9"/>
        <v>6757768.5199999996</v>
      </c>
      <c r="P391" s="11">
        <v>4513024.21</v>
      </c>
      <c r="Q391" s="14" t="s">
        <v>845</v>
      </c>
      <c r="R391" s="15">
        <f>O391/3358</f>
        <v>2012.4385110184633</v>
      </c>
      <c r="S391" s="7" t="s">
        <v>41</v>
      </c>
      <c r="T391" s="12">
        <v>8369</v>
      </c>
      <c r="U391" s="13" t="s">
        <v>42</v>
      </c>
      <c r="V391" s="7" t="s">
        <v>43</v>
      </c>
      <c r="W391" s="10">
        <f>'[1]V, inciso p) (OP)'!AM195</f>
        <v>42973</v>
      </c>
      <c r="X391" s="10">
        <f>'[1]V, inciso p) (OP)'!AN195</f>
        <v>43095</v>
      </c>
      <c r="Y391" s="7" t="s">
        <v>360</v>
      </c>
      <c r="Z391" s="7" t="s">
        <v>361</v>
      </c>
      <c r="AA391" s="7" t="s">
        <v>362</v>
      </c>
      <c r="AB391" s="21" t="s">
        <v>2646</v>
      </c>
      <c r="AC391" s="6" t="s">
        <v>2438</v>
      </c>
      <c r="AD391" s="6"/>
    </row>
    <row r="392" spans="1:30" ht="69.95" customHeight="1">
      <c r="A392" s="34">
        <v>112</v>
      </c>
      <c r="B392" s="7">
        <v>2017</v>
      </c>
      <c r="C392" s="6" t="s">
        <v>139</v>
      </c>
      <c r="D392" s="6" t="str">
        <f>'[1]V, inciso p) (OP)'!D196</f>
        <v>DOPI-MUN-R33R-DS-CI-112-2017</v>
      </c>
      <c r="E392" s="10">
        <f>'[1]V, inciso p) (OP)'!AD196</f>
        <v>42985</v>
      </c>
      <c r="F392" s="6" t="s">
        <v>846</v>
      </c>
      <c r="G392" s="6" t="s">
        <v>3326</v>
      </c>
      <c r="H392" s="25">
        <v>2089350.02</v>
      </c>
      <c r="I392" s="6" t="str">
        <f>'[1]V, inciso p) (OP)'!AS196</f>
        <v>Colonia Pedregal de Milpillas</v>
      </c>
      <c r="J392" s="6" t="str">
        <f>'[1]V, inciso p) (OP)'!T196</f>
        <v>ERICK</v>
      </c>
      <c r="K392" s="6" t="str">
        <f>'[1]V, inciso p) (OP)'!U196</f>
        <v>VILLASEÑOR</v>
      </c>
      <c r="L392" s="6" t="str">
        <f>'[1]V, inciso p) (OP)'!V196</f>
        <v>GUTIÉRREZ</v>
      </c>
      <c r="M392" s="6" t="s">
        <v>1843</v>
      </c>
      <c r="N392" s="6" t="str">
        <f>'[1]V, inciso p) (OP)'!X196</f>
        <v>PCO140829425</v>
      </c>
      <c r="O392" s="11">
        <f t="shared" si="9"/>
        <v>2089350.02</v>
      </c>
      <c r="P392" s="11">
        <v>2089350.01</v>
      </c>
      <c r="Q392" s="14" t="s">
        <v>847</v>
      </c>
      <c r="R392" s="15">
        <f>O392/536</f>
        <v>3898.0410820895522</v>
      </c>
      <c r="S392" s="7" t="s">
        <v>41</v>
      </c>
      <c r="T392" s="12">
        <v>110</v>
      </c>
      <c r="U392" s="13" t="s">
        <v>42</v>
      </c>
      <c r="V392" s="7" t="s">
        <v>43</v>
      </c>
      <c r="W392" s="10">
        <f>'[1]V, inciso p) (OP)'!AM196</f>
        <v>42986</v>
      </c>
      <c r="X392" s="10">
        <f>'[1]V, inciso p) (OP)'!AN196</f>
        <v>43060</v>
      </c>
      <c r="Y392" s="7" t="s">
        <v>460</v>
      </c>
      <c r="Z392" s="7" t="s">
        <v>302</v>
      </c>
      <c r="AA392" s="7" t="s">
        <v>303</v>
      </c>
      <c r="AB392" s="21" t="s">
        <v>2647</v>
      </c>
      <c r="AC392" s="6" t="s">
        <v>2438</v>
      </c>
      <c r="AD392" s="6"/>
    </row>
    <row r="393" spans="1:30" ht="69.95" customHeight="1">
      <c r="A393" s="34">
        <v>113</v>
      </c>
      <c r="B393" s="7">
        <v>2017</v>
      </c>
      <c r="C393" s="6" t="s">
        <v>139</v>
      </c>
      <c r="D393" s="6" t="str">
        <f>'[1]V, inciso p) (OP)'!D197</f>
        <v>DOPI-MUN-R33R-IH-CI-113-2017</v>
      </c>
      <c r="E393" s="10">
        <f>'[1]V, inciso p) (OP)'!AD197</f>
        <v>42985</v>
      </c>
      <c r="F393" s="6" t="s">
        <v>848</v>
      </c>
      <c r="G393" s="6" t="s">
        <v>3326</v>
      </c>
      <c r="H393" s="25">
        <v>2233095.61</v>
      </c>
      <c r="I393" s="6" t="str">
        <f>'[1]V, inciso p) (OP)'!AS197</f>
        <v>Colonia Revolución</v>
      </c>
      <c r="J393" s="6" t="str">
        <f>'[1]V, inciso p) (OP)'!T197</f>
        <v>ADALBERTO</v>
      </c>
      <c r="K393" s="6" t="str">
        <f>'[1]V, inciso p) (OP)'!U197</f>
        <v>MEDINA</v>
      </c>
      <c r="L393" s="6" t="str">
        <f>'[1]V, inciso p) (OP)'!V197</f>
        <v>MORALES</v>
      </c>
      <c r="M393" s="6" t="s">
        <v>2010</v>
      </c>
      <c r="N393" s="6" t="str">
        <f>'[1]V, inciso p) (OP)'!X197</f>
        <v>URD130830U21</v>
      </c>
      <c r="O393" s="11">
        <f t="shared" si="9"/>
        <v>2233095.61</v>
      </c>
      <c r="P393" s="11">
        <v>2141174.7999999998</v>
      </c>
      <c r="Q393" s="14" t="s">
        <v>849</v>
      </c>
      <c r="R393" s="15">
        <f>O393/384</f>
        <v>5815.353151041666</v>
      </c>
      <c r="S393" s="7" t="s">
        <v>41</v>
      </c>
      <c r="T393" s="12">
        <v>136</v>
      </c>
      <c r="U393" s="13" t="s">
        <v>42</v>
      </c>
      <c r="V393" s="43" t="s">
        <v>43</v>
      </c>
      <c r="W393" s="10">
        <f>'[1]V, inciso p) (OP)'!AM197</f>
        <v>42986</v>
      </c>
      <c r="X393" s="10">
        <f>'[1]V, inciso p) (OP)'!AN197</f>
        <v>43060</v>
      </c>
      <c r="Y393" s="7" t="s">
        <v>815</v>
      </c>
      <c r="Z393" s="7" t="s">
        <v>816</v>
      </c>
      <c r="AA393" s="7" t="s">
        <v>130</v>
      </c>
      <c r="AB393" s="21" t="s">
        <v>2648</v>
      </c>
      <c r="AC393" s="6" t="s">
        <v>2438</v>
      </c>
      <c r="AD393" s="6"/>
    </row>
    <row r="394" spans="1:30" ht="69.95" customHeight="1">
      <c r="A394" s="34">
        <v>114</v>
      </c>
      <c r="B394" s="7">
        <v>2017</v>
      </c>
      <c r="C394" s="6" t="s">
        <v>31</v>
      </c>
      <c r="D394" s="6" t="str">
        <f>'[1]V, inciso p) (OP)'!D198</f>
        <v>DOPI-EST-FOCOCI-IU-LP-114-2017</v>
      </c>
      <c r="E394" s="10">
        <f>'[1]V, inciso p) (OP)'!AD198</f>
        <v>42972</v>
      </c>
      <c r="F394" s="6" t="str">
        <f>'[1]V, inciso p) (OP)'!AL198</f>
        <v>Construcción de Centro Comunitario San Juan de Ocotán, en el municipio de Zapopan, Jalisco.</v>
      </c>
      <c r="G394" s="6" t="s">
        <v>3328</v>
      </c>
      <c r="H394" s="25">
        <v>9800000</v>
      </c>
      <c r="I394" s="6" t="str">
        <f>'[1]V, inciso p) (OP)'!AS198</f>
        <v>San Juan de Ocotán</v>
      </c>
      <c r="J394" s="6" t="str">
        <f>'[1]V, inciso p) (OP)'!T198</f>
        <v>JOSÉ ANTONIO</v>
      </c>
      <c r="K394" s="6" t="str">
        <f>'[1]V, inciso p) (OP)'!U198</f>
        <v>CISNEROS</v>
      </c>
      <c r="L394" s="6" t="str">
        <f>'[1]V, inciso p) (OP)'!V198</f>
        <v>CASTILLO</v>
      </c>
      <c r="M394" s="6" t="s">
        <v>3160</v>
      </c>
      <c r="N394" s="6" t="str">
        <f>'[1]V, inciso p) (OP)'!X198</f>
        <v>APE111122MI0</v>
      </c>
      <c r="O394" s="11">
        <f t="shared" si="9"/>
        <v>9800000</v>
      </c>
      <c r="P394" s="11">
        <v>9799998.9799999986</v>
      </c>
      <c r="Q394" s="14" t="s">
        <v>850</v>
      </c>
      <c r="R394" s="15">
        <f>O394/1316</f>
        <v>7446.8085106382978</v>
      </c>
      <c r="S394" s="7" t="s">
        <v>41</v>
      </c>
      <c r="T394" s="12">
        <v>28652</v>
      </c>
      <c r="U394" s="13" t="s">
        <v>42</v>
      </c>
      <c r="V394" s="7" t="s">
        <v>43</v>
      </c>
      <c r="W394" s="10">
        <f>'[1]V, inciso p) (OP)'!AM198</f>
        <v>42972</v>
      </c>
      <c r="X394" s="10">
        <f>'[1]V, inciso p) (OP)'!AN198</f>
        <v>43077</v>
      </c>
      <c r="Y394" s="7" t="s">
        <v>705</v>
      </c>
      <c r="Z394" s="7" t="s">
        <v>851</v>
      </c>
      <c r="AA394" s="7" t="s">
        <v>130</v>
      </c>
      <c r="AB394" s="21" t="s">
        <v>2649</v>
      </c>
      <c r="AC394" s="6" t="s">
        <v>2438</v>
      </c>
      <c r="AD394" s="7"/>
    </row>
    <row r="395" spans="1:30" ht="69.95" customHeight="1">
      <c r="A395" s="34">
        <v>115</v>
      </c>
      <c r="B395" s="7">
        <v>2017</v>
      </c>
      <c r="C395" s="6" t="s">
        <v>31</v>
      </c>
      <c r="D395" s="6" t="str">
        <f>'[1]V, inciso p) (OP)'!D199</f>
        <v>DOPI-EST-CM-PAV-LP-115-2017</v>
      </c>
      <c r="E395" s="10">
        <f>'[1]V, inciso p) (OP)'!AD199</f>
        <v>42972</v>
      </c>
      <c r="F395" s="6" t="str">
        <f>'[1]V, inciso p) (OP)'!AL199</f>
        <v>Renovación urbana en área habitacional y de zona comercial de solución vial Parres Arias, en el municipio de Zapopan, Jalisco, frente 1.</v>
      </c>
      <c r="G395" s="6" t="s">
        <v>3329</v>
      </c>
      <c r="H395" s="25">
        <v>20010806.02</v>
      </c>
      <c r="I395" s="6" t="str">
        <f>'[1]V, inciso p) (OP)'!AS199</f>
        <v>Parque Industrial Los Belenes</v>
      </c>
      <c r="J395" s="6" t="str">
        <f>'[1]V, inciso p) (OP)'!T199</f>
        <v>IGNACIO JAVIER</v>
      </c>
      <c r="K395" s="6" t="str">
        <f>'[1]V, inciso p) (OP)'!U199</f>
        <v>CURIEL</v>
      </c>
      <c r="L395" s="6" t="str">
        <f>'[1]V, inciso p) (OP)'!V199</f>
        <v>DUEÑAS</v>
      </c>
      <c r="M395" s="6" t="s">
        <v>3161</v>
      </c>
      <c r="N395" s="6" t="str">
        <f>'[1]V, inciso p) (OP)'!X199</f>
        <v>TCM100915HA1</v>
      </c>
      <c r="O395" s="11">
        <f t="shared" si="9"/>
        <v>20010806.02</v>
      </c>
      <c r="P395" s="11">
        <v>20010806.010000002</v>
      </c>
      <c r="Q395" s="14" t="s">
        <v>852</v>
      </c>
      <c r="R395" s="15">
        <f>O395/957</f>
        <v>20909.933145245559</v>
      </c>
      <c r="S395" s="7" t="s">
        <v>41</v>
      </c>
      <c r="T395" s="12">
        <v>1332272</v>
      </c>
      <c r="U395" s="13" t="s">
        <v>42</v>
      </c>
      <c r="V395" s="43" t="s">
        <v>43</v>
      </c>
      <c r="W395" s="10">
        <f>'[1]V, inciso p) (OP)'!AM199</f>
        <v>42972</v>
      </c>
      <c r="X395" s="10">
        <f>'[1]V, inciso p) (OP)'!AN199</f>
        <v>43093</v>
      </c>
      <c r="Y395" s="7" t="s">
        <v>853</v>
      </c>
      <c r="Z395" s="7" t="s">
        <v>730</v>
      </c>
      <c r="AA395" s="7" t="s">
        <v>731</v>
      </c>
      <c r="AB395" s="21" t="s">
        <v>2650</v>
      </c>
      <c r="AC395" s="6" t="s">
        <v>2438</v>
      </c>
      <c r="AD395" s="6"/>
    </row>
    <row r="396" spans="1:30" ht="69.95" customHeight="1">
      <c r="A396" s="34">
        <v>116</v>
      </c>
      <c r="B396" s="7">
        <v>2017</v>
      </c>
      <c r="C396" s="6" t="s">
        <v>31</v>
      </c>
      <c r="D396" s="6" t="str">
        <f>'[1]V, inciso p) (OP)'!D200</f>
        <v>DOPI-EST-CM-PAV-LP-116-2017</v>
      </c>
      <c r="E396" s="10">
        <f>'[1]V, inciso p) (OP)'!AD200</f>
        <v>42972</v>
      </c>
      <c r="F396" s="6" t="str">
        <f>'[1]V, inciso p) (OP)'!AL200</f>
        <v>Renovación urbana en área habitacional y de zona comercial de solución vial Parres Arias, en el municipio de Zapopan, Jalisco, frente 2.</v>
      </c>
      <c r="G396" s="6" t="s">
        <v>3329</v>
      </c>
      <c r="H396" s="25">
        <v>19989193.98</v>
      </c>
      <c r="I396" s="6" t="str">
        <f>'[1]V, inciso p) (OP)'!AS200</f>
        <v>Parque Industrial Los Belenes</v>
      </c>
      <c r="J396" s="6" t="str">
        <f>'[1]V, inciso p) (OP)'!T200</f>
        <v>RODRIGO</v>
      </c>
      <c r="K396" s="6" t="str">
        <f>'[1]V, inciso p) (OP)'!U200</f>
        <v>RAMOS</v>
      </c>
      <c r="L396" s="6" t="str">
        <f>'[1]V, inciso p) (OP)'!V200</f>
        <v>GARIBI</v>
      </c>
      <c r="M396" s="6" t="s">
        <v>3162</v>
      </c>
      <c r="N396" s="6" t="str">
        <f>'[1]V, inciso p) (OP)'!X200</f>
        <v>CCO990211T64</v>
      </c>
      <c r="O396" s="11">
        <f t="shared" si="9"/>
        <v>19989193.98</v>
      </c>
      <c r="P396" s="11">
        <v>19989193.98</v>
      </c>
      <c r="Q396" s="14" t="s">
        <v>852</v>
      </c>
      <c r="R396" s="15">
        <f>O396/957</f>
        <v>20887.350031347964</v>
      </c>
      <c r="S396" s="7" t="s">
        <v>41</v>
      </c>
      <c r="T396" s="12">
        <v>1332272</v>
      </c>
      <c r="U396" s="13" t="s">
        <v>42</v>
      </c>
      <c r="V396" s="43" t="s">
        <v>43</v>
      </c>
      <c r="W396" s="10">
        <f>'[1]V, inciso p) (OP)'!AM200</f>
        <v>42972</v>
      </c>
      <c r="X396" s="10">
        <f>'[1]V, inciso p) (OP)'!AN200</f>
        <v>43093</v>
      </c>
      <c r="Y396" s="7" t="s">
        <v>853</v>
      </c>
      <c r="Z396" s="7" t="s">
        <v>730</v>
      </c>
      <c r="AA396" s="7" t="s">
        <v>731</v>
      </c>
      <c r="AB396" s="21" t="s">
        <v>2651</v>
      </c>
      <c r="AC396" s="6" t="s">
        <v>2438</v>
      </c>
      <c r="AD396" s="6"/>
    </row>
    <row r="397" spans="1:30" ht="69.95" customHeight="1">
      <c r="A397" s="34">
        <v>117</v>
      </c>
      <c r="B397" s="7">
        <v>2017</v>
      </c>
      <c r="C397" s="6" t="s">
        <v>139</v>
      </c>
      <c r="D397" s="6" t="str">
        <f>'[1]V, inciso p) (OP)'!D201</f>
        <v>DOPI-MUN-R33R-DS-CI-117-2017</v>
      </c>
      <c r="E397" s="10">
        <f>'[1]V, inciso p) (OP)'!AD201</f>
        <v>42985</v>
      </c>
      <c r="F397" s="6" t="s">
        <v>854</v>
      </c>
      <c r="G397" s="6" t="s">
        <v>3326</v>
      </c>
      <c r="H397" s="25">
        <v>4243025.28</v>
      </c>
      <c r="I397" s="6" t="str">
        <f>'[1]V, inciso p) (OP)'!AS201</f>
        <v>Colonia Colinas del Rio</v>
      </c>
      <c r="J397" s="6" t="str">
        <f>'[1]V, inciso p) (OP)'!T201</f>
        <v>VICTOR</v>
      </c>
      <c r="K397" s="6" t="str">
        <f>'[1]V, inciso p) (OP)'!U201</f>
        <v>ZAYAS</v>
      </c>
      <c r="L397" s="6" t="str">
        <f>'[1]V, inciso p) (OP)'!V201</f>
        <v>RIQUELME</v>
      </c>
      <c r="M397" s="6" t="s">
        <v>1892</v>
      </c>
      <c r="N397" s="6" t="str">
        <f>'[1]V, inciso p) (OP)'!X201</f>
        <v>GIC810323RA6</v>
      </c>
      <c r="O397" s="11">
        <f t="shared" si="9"/>
        <v>4243025.28</v>
      </c>
      <c r="P397" s="11">
        <v>4242764.26</v>
      </c>
      <c r="Q397" s="14" t="s">
        <v>855</v>
      </c>
      <c r="R397" s="15">
        <f>O397/1100</f>
        <v>3857.2957090909094</v>
      </c>
      <c r="S397" s="7" t="s">
        <v>41</v>
      </c>
      <c r="T397" s="12">
        <v>265</v>
      </c>
      <c r="U397" s="13" t="s">
        <v>42</v>
      </c>
      <c r="V397" s="7" t="s">
        <v>43</v>
      </c>
      <c r="W397" s="10">
        <f>'[1]V, inciso p) (OP)'!AM201</f>
        <v>42986</v>
      </c>
      <c r="X397" s="10">
        <f>'[1]V, inciso p) (OP)'!AN201</f>
        <v>43083</v>
      </c>
      <c r="Y397" s="7" t="s">
        <v>780</v>
      </c>
      <c r="Z397" s="7" t="s">
        <v>818</v>
      </c>
      <c r="AA397" s="7" t="s">
        <v>186</v>
      </c>
      <c r="AB397" s="21" t="s">
        <v>2664</v>
      </c>
      <c r="AC397" s="6" t="s">
        <v>2438</v>
      </c>
      <c r="AD397" s="6"/>
    </row>
    <row r="398" spans="1:30" ht="69.95" customHeight="1">
      <c r="A398" s="34">
        <v>118</v>
      </c>
      <c r="B398" s="7">
        <v>2017</v>
      </c>
      <c r="C398" s="6" t="s">
        <v>139</v>
      </c>
      <c r="D398" s="6" t="str">
        <f>'[1]V, inciso p) (OP)'!D202</f>
        <v>DOPI-MUN-R33R-PAV-CI-118-2017</v>
      </c>
      <c r="E398" s="10">
        <f>'[1]V, inciso p) (OP)'!AD202</f>
        <v>42985</v>
      </c>
      <c r="F398" s="32" t="s">
        <v>856</v>
      </c>
      <c r="G398" s="6" t="s">
        <v>3326</v>
      </c>
      <c r="H398" s="25">
        <v>3570586.87</v>
      </c>
      <c r="I398" s="6" t="str">
        <f>'[1]V, inciso p) (OP)'!AS202</f>
        <v>Colonia El Fresno</v>
      </c>
      <c r="J398" s="6" t="str">
        <f>'[1]V, inciso p) (OP)'!T202</f>
        <v>AARON</v>
      </c>
      <c r="K398" s="6" t="str">
        <f>'[1]V, inciso p) (OP)'!U202</f>
        <v>AMARAL</v>
      </c>
      <c r="L398" s="6" t="str">
        <f>'[1]V, inciso p) (OP)'!V202</f>
        <v>LÓPEZ</v>
      </c>
      <c r="M398" s="6" t="s">
        <v>3163</v>
      </c>
      <c r="N398" s="6" t="str">
        <f>'[1]V, inciso p) (OP)'!X202</f>
        <v>GCC1102098R8</v>
      </c>
      <c r="O398" s="11">
        <f t="shared" si="9"/>
        <v>3570586.87</v>
      </c>
      <c r="P398" s="11">
        <v>3555612.41</v>
      </c>
      <c r="Q398" s="14" t="s">
        <v>857</v>
      </c>
      <c r="R398" s="15">
        <f>O398/1703</f>
        <v>2096.6452554315915</v>
      </c>
      <c r="S398" s="7" t="s">
        <v>41</v>
      </c>
      <c r="T398" s="12">
        <v>364</v>
      </c>
      <c r="U398" s="13" t="s">
        <v>42</v>
      </c>
      <c r="V398" s="43" t="s">
        <v>43</v>
      </c>
      <c r="W398" s="10">
        <f>'[1]V, inciso p) (OP)'!AM202</f>
        <v>42986</v>
      </c>
      <c r="X398" s="10">
        <f>'[1]V, inciso p) (OP)'!AN202</f>
        <v>43075</v>
      </c>
      <c r="Y398" s="7" t="s">
        <v>815</v>
      </c>
      <c r="Z398" s="7" t="s">
        <v>816</v>
      </c>
      <c r="AA398" s="7" t="s">
        <v>130</v>
      </c>
      <c r="AB398" s="21" t="s">
        <v>2652</v>
      </c>
      <c r="AC398" s="6" t="s">
        <v>2438</v>
      </c>
      <c r="AD398" s="6"/>
    </row>
    <row r="399" spans="1:30" ht="69.95" customHeight="1">
      <c r="A399" s="34">
        <v>119</v>
      </c>
      <c r="B399" s="7">
        <v>2017</v>
      </c>
      <c r="C399" s="7" t="s">
        <v>62</v>
      </c>
      <c r="D399" s="6" t="str">
        <f>'[1]V, inciso o) (OP)'!C206</f>
        <v>DOPI-MUN-FORTA-BAN-AD-119-2017</v>
      </c>
      <c r="E399" s="10">
        <f>'[1]V, inciso o) (OP)'!V206</f>
        <v>42899</v>
      </c>
      <c r="F399" s="6" t="str">
        <f>'[1]V, inciso o) (OP)'!AA206</f>
        <v>Peatonalización, construcción de banquetas, sustitución de guarniciones, bolardos y obra complementaria en el estacionamiento en el Hospital General de Zapopan, Municipio de Zapopan, Jalisco.</v>
      </c>
      <c r="G399" s="6" t="s">
        <v>3322</v>
      </c>
      <c r="H399" s="25">
        <v>1702315.57</v>
      </c>
      <c r="I399" s="6" t="s">
        <v>117</v>
      </c>
      <c r="J399" s="6" t="str">
        <f>'[1]V, inciso o) (OP)'!M206</f>
        <v xml:space="preserve">Eduardo </v>
      </c>
      <c r="K399" s="7" t="str">
        <f>'[1]V, inciso o) (OP)'!N206</f>
        <v>Plascencia</v>
      </c>
      <c r="L399" s="7" t="str">
        <f>'[1]V, inciso o) (OP)'!O206</f>
        <v>Macias</v>
      </c>
      <c r="M399" s="6" t="s">
        <v>2975</v>
      </c>
      <c r="N399" s="7" t="str">
        <f>'[1]V, inciso o) (OP)'!Q206</f>
        <v>CEP080129EK6</v>
      </c>
      <c r="O399" s="11">
        <f t="shared" si="9"/>
        <v>1702315.57</v>
      </c>
      <c r="P399" s="11">
        <v>1526358.5</v>
      </c>
      <c r="Q399" s="7" t="s">
        <v>858</v>
      </c>
      <c r="R399" s="11">
        <f>O399/774</f>
        <v>2199.3741214470283</v>
      </c>
      <c r="S399" s="7" t="s">
        <v>41</v>
      </c>
      <c r="T399" s="12">
        <v>1332272</v>
      </c>
      <c r="U399" s="13" t="s">
        <v>42</v>
      </c>
      <c r="V399" s="7" t="s">
        <v>43</v>
      </c>
      <c r="W399" s="10">
        <f>'[1]V, inciso o) (OP)'!AD206</f>
        <v>42900</v>
      </c>
      <c r="X399" s="10">
        <f>'[1]V, inciso o) (OP)'!AE206</f>
        <v>42942</v>
      </c>
      <c r="Y399" s="7" t="s">
        <v>859</v>
      </c>
      <c r="Z399" s="7" t="s">
        <v>860</v>
      </c>
      <c r="AA399" s="7" t="s">
        <v>861</v>
      </c>
      <c r="AB399" s="21" t="s">
        <v>1540</v>
      </c>
      <c r="AC399" s="6" t="s">
        <v>2438</v>
      </c>
      <c r="AD399" s="6"/>
    </row>
    <row r="400" spans="1:30" ht="69.95" customHeight="1">
      <c r="A400" s="34">
        <v>120</v>
      </c>
      <c r="B400" s="7">
        <v>2017</v>
      </c>
      <c r="C400" s="7" t="s">
        <v>62</v>
      </c>
      <c r="D400" s="6" t="str">
        <f>'[1]V, inciso o) (OP)'!C207</f>
        <v>DOPI-MUN-RM-BACHEO-AD-120-2017</v>
      </c>
      <c r="E400" s="10">
        <f>'[1]V, inciso o) (OP)'!V207</f>
        <v>42919</v>
      </c>
      <c r="F400" s="6" t="str">
        <f>'[1]V, inciso o) (OP)'!AA207</f>
        <v>Programa emergente de bacheo, renivelaciones y sellado en vialidades, Zona Centro, Frente 1, municipio de Zapopan, Jalisco.</v>
      </c>
      <c r="G400" s="6" t="s">
        <v>63</v>
      </c>
      <c r="H400" s="25">
        <v>1715234.39</v>
      </c>
      <c r="I400" s="6" t="s">
        <v>117</v>
      </c>
      <c r="J400" s="6" t="str">
        <f>'[1]V, inciso o) (OP)'!M207</f>
        <v>Luis Armando</v>
      </c>
      <c r="K400" s="7" t="str">
        <f>'[1]V, inciso o) (OP)'!N207</f>
        <v>Linares</v>
      </c>
      <c r="L400" s="7" t="str">
        <f>'[1]V, inciso o) (OP)'!O207</f>
        <v>Cacho</v>
      </c>
      <c r="M400" s="6" t="s">
        <v>3002</v>
      </c>
      <c r="N400" s="7" t="str">
        <f>'[1]V, inciso o) (OP)'!Q207</f>
        <v>URC160310857</v>
      </c>
      <c r="O400" s="11">
        <f t="shared" si="9"/>
        <v>1715234.39</v>
      </c>
      <c r="P400" s="11">
        <v>1715145.84</v>
      </c>
      <c r="Q400" s="7" t="s">
        <v>862</v>
      </c>
      <c r="R400" s="11">
        <f>O400/12047</f>
        <v>142.37854984643479</v>
      </c>
      <c r="S400" s="7" t="s">
        <v>41</v>
      </c>
      <c r="T400" s="12">
        <v>4249</v>
      </c>
      <c r="U400" s="13" t="s">
        <v>42</v>
      </c>
      <c r="V400" s="7" t="s">
        <v>43</v>
      </c>
      <c r="W400" s="10">
        <f>'[1]V, inciso o) (OP)'!AD207</f>
        <v>42919</v>
      </c>
      <c r="X400" s="10">
        <f>'[1]V, inciso o) (OP)'!AE207</f>
        <v>42993</v>
      </c>
      <c r="Y400" s="7" t="s">
        <v>863</v>
      </c>
      <c r="Z400" s="7" t="s">
        <v>864</v>
      </c>
      <c r="AA400" s="7" t="s">
        <v>253</v>
      </c>
      <c r="AB400" s="21" t="s">
        <v>2299</v>
      </c>
      <c r="AC400" s="6" t="s">
        <v>2438</v>
      </c>
      <c r="AD400" s="6"/>
    </row>
    <row r="401" spans="1:30" ht="69.95" customHeight="1">
      <c r="A401" s="34">
        <v>121</v>
      </c>
      <c r="B401" s="7">
        <v>2017</v>
      </c>
      <c r="C401" s="7" t="s">
        <v>62</v>
      </c>
      <c r="D401" s="6" t="str">
        <f>'[1]V, inciso o) (OP)'!C208</f>
        <v>DOPI-MUN-RM-BACHEO-AD-121-2017</v>
      </c>
      <c r="E401" s="10">
        <f>'[1]V, inciso o) (OP)'!V208</f>
        <v>42919</v>
      </c>
      <c r="F401" s="6" t="str">
        <f>'[1]V, inciso o) (OP)'!AA208</f>
        <v>Programa emergente de bacheo, renivelaciones y sellado en vialidades, Zona Centro, Frente 2, municipio de Zapopan, Jalisco.</v>
      </c>
      <c r="G401" s="6" t="s">
        <v>63</v>
      </c>
      <c r="H401" s="25">
        <v>1724125.79</v>
      </c>
      <c r="I401" s="6" t="s">
        <v>117</v>
      </c>
      <c r="J401" s="6" t="str">
        <f>'[1]V, inciso o) (OP)'!M208</f>
        <v>José Antonio</v>
      </c>
      <c r="K401" s="7" t="str">
        <f>'[1]V, inciso o) (OP)'!N208</f>
        <v>Álvarez</v>
      </c>
      <c r="L401" s="7" t="str">
        <f>'[1]V, inciso o) (OP)'!O208</f>
        <v>Garcia</v>
      </c>
      <c r="M401" s="6" t="s">
        <v>2957</v>
      </c>
      <c r="N401" s="7" t="str">
        <f>'[1]V, inciso o) (OP)'!Q208</f>
        <v>UMN160125869</v>
      </c>
      <c r="O401" s="11">
        <f t="shared" si="9"/>
        <v>1724125.79</v>
      </c>
      <c r="P401" s="11">
        <v>1717544.13</v>
      </c>
      <c r="Q401" s="7" t="s">
        <v>865</v>
      </c>
      <c r="R401" s="11">
        <f>O401/1504</f>
        <v>1146.360232712766</v>
      </c>
      <c r="S401" s="7" t="s">
        <v>41</v>
      </c>
      <c r="T401" s="12">
        <v>947</v>
      </c>
      <c r="U401" s="13" t="s">
        <v>42</v>
      </c>
      <c r="V401" s="7" t="s">
        <v>43</v>
      </c>
      <c r="W401" s="10">
        <f>'[1]V, inciso o) (OP)'!AD208</f>
        <v>42919</v>
      </c>
      <c r="X401" s="10">
        <f>'[1]V, inciso o) (OP)'!AE208</f>
        <v>42993</v>
      </c>
      <c r="Y401" s="7" t="s">
        <v>863</v>
      </c>
      <c r="Z401" s="7" t="s">
        <v>864</v>
      </c>
      <c r="AA401" s="7" t="s">
        <v>253</v>
      </c>
      <c r="AB401" s="21" t="s">
        <v>1541</v>
      </c>
      <c r="AC401" s="6" t="s">
        <v>2438</v>
      </c>
      <c r="AD401" s="6"/>
    </row>
    <row r="402" spans="1:30" ht="69.95" customHeight="1">
      <c r="A402" s="34">
        <v>122</v>
      </c>
      <c r="B402" s="7">
        <v>2017</v>
      </c>
      <c r="C402" s="7" t="s">
        <v>62</v>
      </c>
      <c r="D402" s="6" t="str">
        <f>'[1]V, inciso o) (OP)'!C209</f>
        <v>DOPI-MUN-RM-IM-AD-122-2017</v>
      </c>
      <c r="E402" s="10">
        <f>'[1]V, inciso o) (OP)'!V209</f>
        <v>42915</v>
      </c>
      <c r="F402" s="6" t="str">
        <f>'[1]V, inciso o) (OP)'!AA209</f>
        <v>Rehabilitación de Salón Vecinal, zona 6, Colonia Paseos del Sol, municipio de Zapopan, Jalisco, primera etapa.</v>
      </c>
      <c r="G402" s="6" t="s">
        <v>63</v>
      </c>
      <c r="H402" s="25">
        <v>998558.74</v>
      </c>
      <c r="I402" s="6" t="s">
        <v>866</v>
      </c>
      <c r="J402" s="6" t="str">
        <f>'[1]V, inciso o) (OP)'!M209</f>
        <v>J. JESÚS</v>
      </c>
      <c r="K402" s="7" t="str">
        <f>'[1]V, inciso o) (OP)'!N209</f>
        <v>CONTRERAS</v>
      </c>
      <c r="L402" s="7" t="str">
        <f>'[1]V, inciso o) (OP)'!O209</f>
        <v>VILLANUEVA</v>
      </c>
      <c r="M402" s="6" t="s">
        <v>2191</v>
      </c>
      <c r="N402" s="7" t="str">
        <f>'[1]V, inciso o) (OP)'!Q209</f>
        <v>CCO0404226D8</v>
      </c>
      <c r="O402" s="11">
        <f t="shared" si="9"/>
        <v>998558.74</v>
      </c>
      <c r="P402" s="11">
        <v>998558.74</v>
      </c>
      <c r="Q402" s="7" t="s">
        <v>867</v>
      </c>
      <c r="R402" s="11">
        <f>O402/14736</f>
        <v>67.763215255157434</v>
      </c>
      <c r="S402" s="7" t="s">
        <v>41</v>
      </c>
      <c r="T402" s="12">
        <v>4853</v>
      </c>
      <c r="U402" s="13" t="s">
        <v>42</v>
      </c>
      <c r="V402" s="7" t="s">
        <v>43</v>
      </c>
      <c r="W402" s="10">
        <f>'[1]V, inciso o) (OP)'!AD209</f>
        <v>42919</v>
      </c>
      <c r="X402" s="10">
        <f>'[1]V, inciso o) (OP)'!AE209</f>
        <v>42962</v>
      </c>
      <c r="Y402" s="7" t="s">
        <v>603</v>
      </c>
      <c r="Z402" s="7" t="s">
        <v>604</v>
      </c>
      <c r="AA402" s="7" t="s">
        <v>605</v>
      </c>
      <c r="AB402" s="21" t="s">
        <v>2300</v>
      </c>
      <c r="AC402" s="6" t="s">
        <v>2438</v>
      </c>
      <c r="AD402" s="6"/>
    </row>
    <row r="403" spans="1:30" ht="69.95" customHeight="1">
      <c r="A403" s="34">
        <v>123</v>
      </c>
      <c r="B403" s="7">
        <v>2017</v>
      </c>
      <c r="C403" s="7" t="s">
        <v>62</v>
      </c>
      <c r="D403" s="6" t="str">
        <f>'[1]V, inciso o) (OP)'!C210</f>
        <v>DOPI-MUN-R33-IH-AD-123-2017</v>
      </c>
      <c r="E403" s="10">
        <f>'[1]V, inciso o) (OP)'!V210</f>
        <v>42915</v>
      </c>
      <c r="F403" s="6" t="str">
        <f>'[1]V, inciso o) (OP)'!AA210</f>
        <v>Revestimiento de canal pluvial y obras de drenaje, sobre calle Pinos de calle Periodistas a calle Fresno, en la colonia Lomas del Centinela, municipio de Zapopan, Jalisco. Primera etapa.</v>
      </c>
      <c r="G403" s="6" t="s">
        <v>3325</v>
      </c>
      <c r="H403" s="25">
        <v>1700244.87</v>
      </c>
      <c r="I403" s="6" t="s">
        <v>868</v>
      </c>
      <c r="J403" s="6" t="str">
        <f>'[1]V, inciso o) (OP)'!M210</f>
        <v>CARLOS CELSO</v>
      </c>
      <c r="K403" s="7" t="str">
        <f>'[1]V, inciso o) (OP)'!N210</f>
        <v>GARCÍA</v>
      </c>
      <c r="L403" s="7" t="str">
        <f>'[1]V, inciso o) (OP)'!O210</f>
        <v>QUINTERO</v>
      </c>
      <c r="M403" s="6" t="s">
        <v>3164</v>
      </c>
      <c r="N403" s="7" t="str">
        <f>'[1]V, inciso o) (OP)'!Q210</f>
        <v>GCH070702SH8</v>
      </c>
      <c r="O403" s="11">
        <f t="shared" si="9"/>
        <v>1700244.87</v>
      </c>
      <c r="P403" s="11">
        <v>1670394.8900000001</v>
      </c>
      <c r="Q403" s="7" t="s">
        <v>869</v>
      </c>
      <c r="R403" s="11">
        <f>O403/99</f>
        <v>17174.190606060609</v>
      </c>
      <c r="S403" s="7" t="s">
        <v>41</v>
      </c>
      <c r="T403" s="12">
        <v>2184</v>
      </c>
      <c r="U403" s="13" t="s">
        <v>42</v>
      </c>
      <c r="V403" s="43" t="s">
        <v>43</v>
      </c>
      <c r="W403" s="10">
        <f>'[1]V, inciso o) (OP)'!AD210</f>
        <v>42919</v>
      </c>
      <c r="X403" s="10">
        <f>'[1]V, inciso o) (OP)'!AE210</f>
        <v>42981</v>
      </c>
      <c r="Y403" s="7" t="s">
        <v>808</v>
      </c>
      <c r="Z403" s="7" t="s">
        <v>809</v>
      </c>
      <c r="AA403" s="7" t="s">
        <v>94</v>
      </c>
      <c r="AB403" s="21" t="s">
        <v>2653</v>
      </c>
      <c r="AC403" s="6" t="s">
        <v>2438</v>
      </c>
      <c r="AD403" s="6"/>
    </row>
    <row r="404" spans="1:30" ht="69.95" customHeight="1">
      <c r="A404" s="34">
        <v>124</v>
      </c>
      <c r="B404" s="7">
        <v>2017</v>
      </c>
      <c r="C404" s="7" t="s">
        <v>62</v>
      </c>
      <c r="D404" s="6" t="str">
        <f>'[1]V, inciso o) (OP)'!C211</f>
        <v>DOPI-MUN-RM-BACHEO-AD-124-2017</v>
      </c>
      <c r="E404" s="10">
        <f>'[1]V, inciso o) (OP)'!V211</f>
        <v>42919</v>
      </c>
      <c r="F404" s="6" t="str">
        <f>'[1]V, inciso o) (OP)'!AA211</f>
        <v>Programa emergente de bacheo, renivelaciones y sellado en vialidades, Zona Sur, Frente 1, municipio de Zapopan, Jalisco.</v>
      </c>
      <c r="G404" s="6" t="s">
        <v>63</v>
      </c>
      <c r="H404" s="25">
        <v>1718789.14</v>
      </c>
      <c r="I404" s="6" t="s">
        <v>2534</v>
      </c>
      <c r="J404" s="6" t="str">
        <f>'[1]V, inciso o) (OP)'!M211</f>
        <v>Rodrigo</v>
      </c>
      <c r="K404" s="7" t="str">
        <f>'[1]V, inciso o) (OP)'!N211</f>
        <v>Ramos</v>
      </c>
      <c r="L404" s="7" t="str">
        <f>'[1]V, inciso o) (OP)'!O211</f>
        <v>Garibi</v>
      </c>
      <c r="M404" s="6" t="s">
        <v>262</v>
      </c>
      <c r="N404" s="7" t="str">
        <f>'[1]V, inciso o) (OP)'!Q211</f>
        <v>CMA070307RU6</v>
      </c>
      <c r="O404" s="11">
        <f t="shared" si="9"/>
        <v>1718789.14</v>
      </c>
      <c r="P404" s="11">
        <v>1718789.1300000001</v>
      </c>
      <c r="Q404" s="7" t="s">
        <v>870</v>
      </c>
      <c r="R404" s="11">
        <f>O404/340</f>
        <v>5055.2621764705882</v>
      </c>
      <c r="S404" s="7" t="s">
        <v>41</v>
      </c>
      <c r="T404" s="12">
        <v>2413</v>
      </c>
      <c r="U404" s="13" t="s">
        <v>42</v>
      </c>
      <c r="V404" s="7" t="s">
        <v>43</v>
      </c>
      <c r="W404" s="10">
        <f>'[1]V, inciso o) (OP)'!AD211</f>
        <v>42919</v>
      </c>
      <c r="X404" s="10">
        <f>'[1]V, inciso o) (OP)'!AE211</f>
        <v>42993</v>
      </c>
      <c r="Y404" s="7" t="s">
        <v>521</v>
      </c>
      <c r="Z404" s="7" t="s">
        <v>522</v>
      </c>
      <c r="AA404" s="7" t="s">
        <v>523</v>
      </c>
      <c r="AB404" s="21" t="s">
        <v>2905</v>
      </c>
      <c r="AC404" s="6" t="s">
        <v>2438</v>
      </c>
      <c r="AD404" s="6"/>
    </row>
    <row r="405" spans="1:30" ht="69.95" customHeight="1">
      <c r="A405" s="34">
        <v>125</v>
      </c>
      <c r="B405" s="7">
        <v>2017</v>
      </c>
      <c r="C405" s="7" t="s">
        <v>62</v>
      </c>
      <c r="D405" s="6" t="str">
        <f>'[1]V, inciso o) (OP)'!C212</f>
        <v>DOPI-MUN-RM-BACHEO-AD-125-2017</v>
      </c>
      <c r="E405" s="10">
        <f>'[1]V, inciso o) (OP)'!V212</f>
        <v>42919</v>
      </c>
      <c r="F405" s="6" t="str">
        <f>'[1]V, inciso o) (OP)'!AA212</f>
        <v>Programa emergente de bacheo, renivelaciones y sellado en vialidades, Zona Surponiente, Frente 1, municipio de Zapopan, Jalisco.</v>
      </c>
      <c r="G405" s="6" t="s">
        <v>63</v>
      </c>
      <c r="H405" s="25">
        <v>1102004.26</v>
      </c>
      <c r="I405" s="6" t="s">
        <v>2526</v>
      </c>
      <c r="J405" s="6" t="str">
        <f>'[1]V, inciso o) (OP)'!M212</f>
        <v>SALVADOR ALEJANDRO</v>
      </c>
      <c r="K405" s="7" t="str">
        <f>'[1]V, inciso o) (OP)'!N212</f>
        <v>CURIEL</v>
      </c>
      <c r="L405" s="7" t="str">
        <f>'[1]V, inciso o) (OP)'!O212</f>
        <v>SANCHEZ</v>
      </c>
      <c r="M405" s="6" t="s">
        <v>3165</v>
      </c>
      <c r="N405" s="7" t="str">
        <f>'[1]V, inciso o) (OP)'!Q212</f>
        <v>PYC1004139E5</v>
      </c>
      <c r="O405" s="11">
        <f t="shared" si="9"/>
        <v>1102004.26</v>
      </c>
      <c r="P405" s="11">
        <v>1102002.8499999999</v>
      </c>
      <c r="Q405" s="7" t="s">
        <v>871</v>
      </c>
      <c r="R405" s="11">
        <f>O405/130</f>
        <v>8476.9558461538454</v>
      </c>
      <c r="S405" s="7" t="s">
        <v>41</v>
      </c>
      <c r="T405" s="12">
        <v>2256</v>
      </c>
      <c r="U405" s="13" t="s">
        <v>42</v>
      </c>
      <c r="V405" s="7" t="s">
        <v>43</v>
      </c>
      <c r="W405" s="10">
        <f>'[1]V, inciso o) (OP)'!AD212</f>
        <v>42919</v>
      </c>
      <c r="X405" s="10">
        <f>'[1]V, inciso o) (OP)'!AE212</f>
        <v>42993</v>
      </c>
      <c r="Y405" s="7" t="s">
        <v>521</v>
      </c>
      <c r="Z405" s="7" t="s">
        <v>522</v>
      </c>
      <c r="AA405" s="7" t="s">
        <v>523</v>
      </c>
      <c r="AB405" s="21" t="s">
        <v>1542</v>
      </c>
      <c r="AC405" s="6" t="s">
        <v>2438</v>
      </c>
      <c r="AD405" s="6"/>
    </row>
    <row r="406" spans="1:30" ht="69.95" customHeight="1">
      <c r="A406" s="34">
        <v>126</v>
      </c>
      <c r="B406" s="7">
        <v>2017</v>
      </c>
      <c r="C406" s="7" t="s">
        <v>62</v>
      </c>
      <c r="D406" s="6" t="str">
        <f>'[1]V, inciso o) (OP)'!C213</f>
        <v>DOPI-MUN-RM-BACHEO-AD-126-2017</v>
      </c>
      <c r="E406" s="10">
        <f>'[1]V, inciso o) (OP)'!V213</f>
        <v>42919</v>
      </c>
      <c r="F406" s="6" t="str">
        <f>'[1]V, inciso o) (OP)'!AA213</f>
        <v>Programa emergente de bacheo, renivelaciones y sellado en vialidades, Zona Poniente, Frente 1, municipio de Zapopan, Jalisco.</v>
      </c>
      <c r="G406" s="6" t="s">
        <v>63</v>
      </c>
      <c r="H406" s="25">
        <v>1720415.17</v>
      </c>
      <c r="I406" s="6" t="s">
        <v>2536</v>
      </c>
      <c r="J406" s="6" t="str">
        <f>'[1]V, inciso o) (OP)'!M213</f>
        <v>Mario</v>
      </c>
      <c r="K406" s="7" t="str">
        <f>'[1]V, inciso o) (OP)'!N213</f>
        <v>Beltrán</v>
      </c>
      <c r="L406" s="7" t="str">
        <f>'[1]V, inciso o) (OP)'!O213</f>
        <v>Rodríguez</v>
      </c>
      <c r="M406" s="6" t="s">
        <v>2998</v>
      </c>
      <c r="N406" s="7" t="str">
        <f>'[1]V, inciso o) (OP)'!Q213</f>
        <v>CDB0506068Z4</v>
      </c>
      <c r="O406" s="11">
        <f t="shared" si="9"/>
        <v>1720415.17</v>
      </c>
      <c r="P406" s="11">
        <v>1720415.17</v>
      </c>
      <c r="Q406" s="7" t="s">
        <v>872</v>
      </c>
      <c r="R406" s="11">
        <f>O406/1620</f>
        <v>1061.9846728395062</v>
      </c>
      <c r="S406" s="7" t="s">
        <v>41</v>
      </c>
      <c r="T406" s="12">
        <v>332272</v>
      </c>
      <c r="U406" s="13" t="s">
        <v>42</v>
      </c>
      <c r="V406" s="7" t="s">
        <v>43</v>
      </c>
      <c r="W406" s="10">
        <f>'[1]V, inciso o) (OP)'!AD213</f>
        <v>42919</v>
      </c>
      <c r="X406" s="10">
        <f>'[1]V, inciso o) (OP)'!AE213</f>
        <v>42993</v>
      </c>
      <c r="Y406" s="7" t="s">
        <v>360</v>
      </c>
      <c r="Z406" s="7" t="s">
        <v>361</v>
      </c>
      <c r="AA406" s="7" t="s">
        <v>362</v>
      </c>
      <c r="AB406" s="21" t="s">
        <v>1543</v>
      </c>
      <c r="AC406" s="6" t="s">
        <v>2438</v>
      </c>
      <c r="AD406" s="6"/>
    </row>
    <row r="407" spans="1:30" ht="69.95" customHeight="1">
      <c r="A407" s="34">
        <v>127</v>
      </c>
      <c r="B407" s="7">
        <v>2017</v>
      </c>
      <c r="C407" s="7" t="s">
        <v>62</v>
      </c>
      <c r="D407" s="6" t="str">
        <f>'[1]V, inciso o) (OP)'!C214</f>
        <v>DOPI-MUN-RM-BACHEO-AD-127-2017</v>
      </c>
      <c r="E407" s="10">
        <f>'[1]V, inciso o) (OP)'!V214</f>
        <v>42920</v>
      </c>
      <c r="F407" s="6" t="str">
        <f>'[1]V, inciso o) (OP)'!AA214</f>
        <v>Programa emergente de bacheo, renivelaciones y sellado en vialidades, Zona Norponiente, Frente 1, municipio de Zapopan, Jalisco.</v>
      </c>
      <c r="G407" s="6" t="s">
        <v>63</v>
      </c>
      <c r="H407" s="25">
        <v>1151981.04</v>
      </c>
      <c r="I407" s="6" t="s">
        <v>2527</v>
      </c>
      <c r="J407" s="6" t="str">
        <f>'[1]V, inciso o) (OP)'!M214</f>
        <v>CARLOS OMAR</v>
      </c>
      <c r="K407" s="7" t="str">
        <f>'[1]V, inciso o) (OP)'!N214</f>
        <v>FIGUEROA</v>
      </c>
      <c r="L407" s="7" t="str">
        <f>'[1]V, inciso o) (OP)'!O214</f>
        <v>CORONADO</v>
      </c>
      <c r="M407" s="6" t="s">
        <v>3166</v>
      </c>
      <c r="N407" s="7" t="str">
        <f>'[1]V, inciso o) (OP)'!Q214</f>
        <v>VGT1402126T0</v>
      </c>
      <c r="O407" s="11">
        <f t="shared" si="9"/>
        <v>1151981.04</v>
      </c>
      <c r="P407" s="11">
        <v>1151980.46</v>
      </c>
      <c r="Q407" s="7" t="s">
        <v>873</v>
      </c>
      <c r="R407" s="11">
        <f>O407/562</f>
        <v>2049.7883274021351</v>
      </c>
      <c r="S407" s="7" t="s">
        <v>41</v>
      </c>
      <c r="T407" s="12">
        <v>19013</v>
      </c>
      <c r="U407" s="13" t="s">
        <v>42</v>
      </c>
      <c r="V407" s="7" t="s">
        <v>43</v>
      </c>
      <c r="W407" s="10">
        <f>'[1]V, inciso o) (OP)'!AD214</f>
        <v>42920</v>
      </c>
      <c r="X407" s="10">
        <f>'[1]V, inciso o) (OP)'!AE214</f>
        <v>42994</v>
      </c>
      <c r="Y407" s="7" t="s">
        <v>331</v>
      </c>
      <c r="Z407" s="7" t="s">
        <v>332</v>
      </c>
      <c r="AA407" s="7" t="s">
        <v>116</v>
      </c>
      <c r="AB407" s="21" t="s">
        <v>2654</v>
      </c>
      <c r="AC407" s="6" t="s">
        <v>2438</v>
      </c>
      <c r="AD407" s="6"/>
    </row>
    <row r="408" spans="1:30" ht="69.95" customHeight="1">
      <c r="A408" s="34">
        <v>128</v>
      </c>
      <c r="B408" s="7">
        <v>2017</v>
      </c>
      <c r="C408" s="7" t="s">
        <v>62</v>
      </c>
      <c r="D408" s="6" t="str">
        <f>'[1]V, inciso o) (OP)'!C215</f>
        <v>DOPI-MUN-RM-BACHEO-AD-128-2017</v>
      </c>
      <c r="E408" s="10">
        <f>'[1]V, inciso o) (OP)'!V215</f>
        <v>42919</v>
      </c>
      <c r="F408" s="6" t="str">
        <f>'[1]V, inciso o) (OP)'!AA215</f>
        <v>Programa emergente de bacheo, renivelaciones y sellado en vialidades, Zona Norte, Frente 1, municipio de Zapopan, Jalisco.</v>
      </c>
      <c r="G408" s="6" t="s">
        <v>63</v>
      </c>
      <c r="H408" s="25">
        <v>1724418.16</v>
      </c>
      <c r="I408" s="6" t="s">
        <v>2528</v>
      </c>
      <c r="J408" s="6" t="str">
        <f>'[1]V, inciso o) (OP)'!M215</f>
        <v>ANGEL SALOMON</v>
      </c>
      <c r="K408" s="7" t="str">
        <f>'[1]V, inciso o) (OP)'!N215</f>
        <v>RINCON</v>
      </c>
      <c r="L408" s="7" t="str">
        <f>'[1]V, inciso o) (OP)'!O215</f>
        <v>DE LA ROSA</v>
      </c>
      <c r="M408" s="6" t="s">
        <v>3167</v>
      </c>
      <c r="N408" s="7" t="str">
        <f>'[1]V, inciso o) (OP)'!Q215</f>
        <v>AAR120507VA9</v>
      </c>
      <c r="O408" s="11">
        <f t="shared" si="9"/>
        <v>1724418.16</v>
      </c>
      <c r="P408" s="11">
        <v>1723775.65</v>
      </c>
      <c r="Q408" s="7" t="s">
        <v>874</v>
      </c>
      <c r="R408" s="11">
        <f>O408/265</f>
        <v>6507.2383396226414</v>
      </c>
      <c r="S408" s="7" t="s">
        <v>41</v>
      </c>
      <c r="T408" s="12">
        <v>17963</v>
      </c>
      <c r="U408" s="13" t="s">
        <v>42</v>
      </c>
      <c r="V408" s="7" t="s">
        <v>43</v>
      </c>
      <c r="W408" s="10">
        <f>'[1]V, inciso o) (OP)'!AD215</f>
        <v>42919</v>
      </c>
      <c r="X408" s="10">
        <f>'[1]V, inciso o) (OP)'!AE215</f>
        <v>42993</v>
      </c>
      <c r="Y408" s="7" t="s">
        <v>863</v>
      </c>
      <c r="Z408" s="7" t="s">
        <v>864</v>
      </c>
      <c r="AA408" s="7" t="s">
        <v>253</v>
      </c>
      <c r="AB408" s="21" t="s">
        <v>1544</v>
      </c>
      <c r="AC408" s="6" t="s">
        <v>2438</v>
      </c>
      <c r="AD408" s="6"/>
    </row>
    <row r="409" spans="1:30" ht="69.95" customHeight="1">
      <c r="A409" s="34">
        <v>129</v>
      </c>
      <c r="B409" s="7">
        <v>2017</v>
      </c>
      <c r="C409" s="7" t="s">
        <v>62</v>
      </c>
      <c r="D409" s="6" t="str">
        <f>'[1]V, inciso o) (OP)'!C216</f>
        <v>DOPI-MUN-RM-BACHEO-AD-129-2017</v>
      </c>
      <c r="E409" s="10">
        <f>'[1]V, inciso o) (OP)'!V216</f>
        <v>42919</v>
      </c>
      <c r="F409" s="6" t="str">
        <f>'[1]V, inciso o) (OP)'!AA216</f>
        <v>Programa emergente de bacheo por el método de bacheo a presión en vialidades, Zonas Centro y Sur, Frente 2, municipio de Zapopan, Jalisco.</v>
      </c>
      <c r="G409" s="6" t="s">
        <v>63</v>
      </c>
      <c r="H409" s="25">
        <v>1705443.99</v>
      </c>
      <c r="I409" s="6" t="s">
        <v>1317</v>
      </c>
      <c r="J409" s="6" t="str">
        <f>'[1]V, inciso o) (OP)'!M216</f>
        <v xml:space="preserve">HUGO </v>
      </c>
      <c r="K409" s="7" t="str">
        <f>'[1]V, inciso o) (OP)'!N216</f>
        <v>BOJORQUEZ</v>
      </c>
      <c r="L409" s="7" t="str">
        <f>'[1]V, inciso o) (OP)'!O216</f>
        <v>SANCHEZ</v>
      </c>
      <c r="M409" s="6" t="s">
        <v>3168</v>
      </c>
      <c r="N409" s="7" t="str">
        <f>'[1]V, inciso o) (OP)'!Q216</f>
        <v>BJE1308202Z2</v>
      </c>
      <c r="O409" s="11">
        <f t="shared" si="9"/>
        <v>1705443.99</v>
      </c>
      <c r="P409" s="11">
        <v>1705443.99</v>
      </c>
      <c r="Q409" s="7" t="s">
        <v>875</v>
      </c>
      <c r="R409" s="11">
        <f>O409/269</f>
        <v>6339.9404832713753</v>
      </c>
      <c r="S409" s="7" t="s">
        <v>41</v>
      </c>
      <c r="T409" s="12">
        <v>19874</v>
      </c>
      <c r="U409" s="13" t="s">
        <v>42</v>
      </c>
      <c r="V409" s="7" t="s">
        <v>43</v>
      </c>
      <c r="W409" s="10">
        <f>'[1]V, inciso o) (OP)'!AD216</f>
        <v>42919</v>
      </c>
      <c r="X409" s="10">
        <f>'[1]V, inciso o) (OP)'!AE216</f>
        <v>42993</v>
      </c>
      <c r="Y409" s="7" t="s">
        <v>521</v>
      </c>
      <c r="Z409" s="7" t="s">
        <v>522</v>
      </c>
      <c r="AA409" s="7" t="s">
        <v>523</v>
      </c>
      <c r="AB409" s="21" t="s">
        <v>1545</v>
      </c>
      <c r="AC409" s="6" t="s">
        <v>2438</v>
      </c>
      <c r="AD409" s="6"/>
    </row>
    <row r="410" spans="1:30" ht="69.95" customHeight="1">
      <c r="A410" s="34">
        <v>130</v>
      </c>
      <c r="B410" s="7">
        <v>2017</v>
      </c>
      <c r="C410" s="7" t="s">
        <v>62</v>
      </c>
      <c r="D410" s="6" t="str">
        <f>'[1]V, inciso o) (OP)'!C217</f>
        <v>DOPI-MUN-FORTA-IM-AD-130-2017</v>
      </c>
      <c r="E410" s="10">
        <f>'[1]V, inciso o) (OP)'!V217</f>
        <v>42919</v>
      </c>
      <c r="F410" s="32" t="str">
        <f>'[1]V, inciso o) (OP)'!AA217</f>
        <v>Construcción de plazoleta, área de juegos infantiles, pintura y albañilería en el Centro de Desarrollo Infantil No. 1 Constitución, ubicado en la colonia La Constitución; acabado, albañilería y obra complementaria en el Centro de Desarrollo Infantil No. 5 El Colli, ubicado en El Colli; Ampliación de cocina y comedor en el Centro de Desarrollo Infantil No. 9 Villa de Guadalupe, ubicado en la colonia Villa de Guadalupe, municipio de Zapopan, Jalisco.</v>
      </c>
      <c r="G410" s="6" t="s">
        <v>3322</v>
      </c>
      <c r="H410" s="25">
        <v>1530188.23</v>
      </c>
      <c r="I410" s="6" t="s">
        <v>876</v>
      </c>
      <c r="J410" s="6" t="str">
        <f>'[1]V, inciso o) (OP)'!M217</f>
        <v>CLAUDIA PATRICIA</v>
      </c>
      <c r="K410" s="7" t="str">
        <f>'[1]V, inciso o) (OP)'!N217</f>
        <v xml:space="preserve">SANCHEZ </v>
      </c>
      <c r="L410" s="7" t="str">
        <f>'[1]V, inciso o) (OP)'!O217</f>
        <v>VALLES</v>
      </c>
      <c r="M410" s="6" t="s">
        <v>3081</v>
      </c>
      <c r="N410" s="7" t="str">
        <f>'[1]V, inciso o) (OP)'!Q217</f>
        <v>CJM121221Q73</v>
      </c>
      <c r="O410" s="11">
        <f t="shared" si="9"/>
        <v>1530188.23</v>
      </c>
      <c r="P410" s="11">
        <v>1444228.41</v>
      </c>
      <c r="Q410" s="7" t="s">
        <v>877</v>
      </c>
      <c r="R410" s="11">
        <f>O410/100</f>
        <v>15301.882299999999</v>
      </c>
      <c r="S410" s="7" t="s">
        <v>41</v>
      </c>
      <c r="T410" s="12">
        <v>164</v>
      </c>
      <c r="U410" s="13" t="s">
        <v>42</v>
      </c>
      <c r="V410" s="7" t="s">
        <v>43</v>
      </c>
      <c r="W410" s="10">
        <f>'[1]V, inciso o) (OP)'!AD217</f>
        <v>42920</v>
      </c>
      <c r="X410" s="10">
        <f>'[1]V, inciso o) (OP)'!AE217</f>
        <v>42977</v>
      </c>
      <c r="Y410" s="7" t="s">
        <v>599</v>
      </c>
      <c r="Z410" s="7" t="s">
        <v>307</v>
      </c>
      <c r="AA410" s="7" t="s">
        <v>61</v>
      </c>
      <c r="AB410" s="21" t="s">
        <v>2301</v>
      </c>
      <c r="AC410" s="6" t="s">
        <v>2438</v>
      </c>
      <c r="AD410" s="6"/>
    </row>
    <row r="411" spans="1:30" ht="69.95" customHeight="1">
      <c r="A411" s="34">
        <v>131</v>
      </c>
      <c r="B411" s="7">
        <v>2017</v>
      </c>
      <c r="C411" s="7" t="s">
        <v>62</v>
      </c>
      <c r="D411" s="6" t="str">
        <f>'[1]V, inciso o) (OP)'!C218</f>
        <v>DOPI-MUN-FORTA-IS-AD-131-2017</v>
      </c>
      <c r="E411" s="10">
        <f>'[1]V, inciso o) (OP)'!V218</f>
        <v>42919</v>
      </c>
      <c r="F411" s="6" t="str">
        <f>'[1]V, inciso o) (OP)'!AA218</f>
        <v>Obra complementaria para la terminación del Centro de Salud Atemajac, ubicado en la colonia Atemajac del Valle, municipio de Zapopan, Jalisco.</v>
      </c>
      <c r="G411" s="6" t="s">
        <v>3322</v>
      </c>
      <c r="H411" s="25">
        <v>705487.23</v>
      </c>
      <c r="I411" s="6" t="s">
        <v>878</v>
      </c>
      <c r="J411" s="6" t="str">
        <f>'[1]V, inciso o) (OP)'!M218</f>
        <v xml:space="preserve">Eduardo </v>
      </c>
      <c r="K411" s="7" t="str">
        <f>'[1]V, inciso o) (OP)'!N218</f>
        <v>Plascencia</v>
      </c>
      <c r="L411" s="7" t="str">
        <f>'[1]V, inciso o) (OP)'!O218</f>
        <v>Macias</v>
      </c>
      <c r="M411" s="6" t="s">
        <v>2975</v>
      </c>
      <c r="N411" s="7" t="str">
        <f>'[1]V, inciso o) (OP)'!Q218</f>
        <v>CEP080129EK6</v>
      </c>
      <c r="O411" s="11">
        <f t="shared" si="9"/>
        <v>705487.23</v>
      </c>
      <c r="P411" s="11">
        <v>553430.51</v>
      </c>
      <c r="Q411" s="7" t="s">
        <v>877</v>
      </c>
      <c r="R411" s="11">
        <f>O411/100</f>
        <v>7054.8723</v>
      </c>
      <c r="S411" s="7" t="s">
        <v>41</v>
      </c>
      <c r="T411" s="12">
        <v>1499</v>
      </c>
      <c r="U411" s="13" t="s">
        <v>42</v>
      </c>
      <c r="V411" s="7" t="s">
        <v>43</v>
      </c>
      <c r="W411" s="10">
        <f>'[1]V, inciso o) (OP)'!AD218</f>
        <v>42920</v>
      </c>
      <c r="X411" s="10">
        <f>'[1]V, inciso o) (OP)'!AE218</f>
        <v>42977</v>
      </c>
      <c r="Y411" s="7" t="s">
        <v>599</v>
      </c>
      <c r="Z411" s="7" t="s">
        <v>307</v>
      </c>
      <c r="AA411" s="7" t="s">
        <v>61</v>
      </c>
      <c r="AB411" s="21" t="s">
        <v>1546</v>
      </c>
      <c r="AC411" s="6" t="s">
        <v>2438</v>
      </c>
      <c r="AD411" s="6"/>
    </row>
    <row r="412" spans="1:30" ht="69.95" customHeight="1">
      <c r="A412" s="34">
        <v>132</v>
      </c>
      <c r="B412" s="7">
        <v>2017</v>
      </c>
      <c r="C412" s="7" t="s">
        <v>62</v>
      </c>
      <c r="D412" s="6" t="str">
        <f>'[1]V, inciso o) (OP)'!C219</f>
        <v>DOPI-MUN-FORTA-IU-AD-132-2017</v>
      </c>
      <c r="E412" s="10">
        <f>'[1]V, inciso o) (OP)'!V219</f>
        <v>42940</v>
      </c>
      <c r="F412" s="6" t="str">
        <f>'[1]V, inciso o) (OP)'!AA219</f>
        <v>Primera etapa de la renovación de imagen urbana en la colonia Díaz Ordaz, municipio de Zapopan, Jalisco.</v>
      </c>
      <c r="G412" s="6" t="s">
        <v>3322</v>
      </c>
      <c r="H412" s="25">
        <v>1630250.47</v>
      </c>
      <c r="I412" s="6" t="s">
        <v>879</v>
      </c>
      <c r="J412" s="6" t="str">
        <f>'[1]V, inciso o) (OP)'!M219</f>
        <v xml:space="preserve">RAFAEL </v>
      </c>
      <c r="K412" s="7" t="str">
        <f>'[1]V, inciso o) (OP)'!N219</f>
        <v>ARREGUIN</v>
      </c>
      <c r="L412" s="7" t="str">
        <f>'[1]V, inciso o) (OP)'!O219</f>
        <v>RENTERIA</v>
      </c>
      <c r="M412" s="6" t="s">
        <v>3096</v>
      </c>
      <c r="N412" s="7" t="str">
        <f>'[1]V, inciso o) (OP)'!Q219</f>
        <v>ADI130522MB7</v>
      </c>
      <c r="O412" s="11">
        <f t="shared" si="9"/>
        <v>1630250.47</v>
      </c>
      <c r="P412" s="11">
        <v>1630250.4700000002</v>
      </c>
      <c r="Q412" s="7" t="s">
        <v>880</v>
      </c>
      <c r="R412" s="11">
        <f>O412/268</f>
        <v>6083.0241417910447</v>
      </c>
      <c r="S412" s="7" t="s">
        <v>41</v>
      </c>
      <c r="T412" s="12">
        <v>18730</v>
      </c>
      <c r="U412" s="13" t="s">
        <v>42</v>
      </c>
      <c r="V412" s="7" t="s">
        <v>43</v>
      </c>
      <c r="W412" s="10">
        <f>'[1]V, inciso o) (OP)'!AD219</f>
        <v>42940</v>
      </c>
      <c r="X412" s="10">
        <f>'[1]V, inciso o) (OP)'!AE219</f>
        <v>43022</v>
      </c>
      <c r="Y412" s="7" t="s">
        <v>780</v>
      </c>
      <c r="Z412" s="7" t="s">
        <v>730</v>
      </c>
      <c r="AA412" s="7" t="s">
        <v>831</v>
      </c>
      <c r="AB412" s="21" t="s">
        <v>1547</v>
      </c>
      <c r="AC412" s="6" t="s">
        <v>2438</v>
      </c>
      <c r="AD412" s="6"/>
    </row>
    <row r="413" spans="1:30" ht="69.95" customHeight="1">
      <c r="A413" s="34">
        <v>133</v>
      </c>
      <c r="B413" s="7">
        <v>2017</v>
      </c>
      <c r="C413" s="7" t="s">
        <v>62</v>
      </c>
      <c r="D413" s="6" t="str">
        <f>'[1]V, inciso o) (OP)'!C220</f>
        <v>DOPI-MUN-RM-PAV-AD-133-2017</v>
      </c>
      <c r="E413" s="10">
        <f>'[1]V, inciso o) (OP)'!V220</f>
        <v>42935</v>
      </c>
      <c r="F413" s="32" t="str">
        <f>'[1]V, inciso o) (OP)'!AA220</f>
        <v>Pavimentación con mezcla asfáltica de calle de los Mosquiteros, de calle Paseo de los Virreyes a calle Paseo de lo Robles y calle Paseo de los Robles, de calle de los Mosquiteros a calle del Conde, incluye: guarniciones, banquetas y señalética, en las colonias San Wenceslao y Villa Universitaria, municipio de Zapopan, Jalisco.</v>
      </c>
      <c r="G413" s="6" t="s">
        <v>63</v>
      </c>
      <c r="H413" s="25">
        <v>1228660.2</v>
      </c>
      <c r="I413" s="6" t="s">
        <v>881</v>
      </c>
      <c r="J413" s="6" t="str">
        <f>'[1]V, inciso o) (OP)'!M220</f>
        <v xml:space="preserve">SANTIAGO </v>
      </c>
      <c r="K413" s="7" t="str">
        <f>'[1]V, inciso o) (OP)'!N220</f>
        <v xml:space="preserve">BUENO </v>
      </c>
      <c r="L413" s="7" t="str">
        <f>'[1]V, inciso o) (OP)'!O220</f>
        <v>FUENTES</v>
      </c>
      <c r="M413" s="6" t="s">
        <v>3169</v>
      </c>
      <c r="N413" s="7" t="str">
        <f>'[1]V, inciso o) (OP)'!Q220</f>
        <v>CSB940503EB3</v>
      </c>
      <c r="O413" s="11">
        <f t="shared" si="9"/>
        <v>1228660.2</v>
      </c>
      <c r="P413" s="11">
        <v>907875.07</v>
      </c>
      <c r="Q413" s="7" t="s">
        <v>882</v>
      </c>
      <c r="R413" s="11">
        <f>O413/172</f>
        <v>7143.3732558139536</v>
      </c>
      <c r="S413" s="7" t="s">
        <v>41</v>
      </c>
      <c r="T413" s="12">
        <v>19641</v>
      </c>
      <c r="U413" s="13" t="s">
        <v>42</v>
      </c>
      <c r="V413" s="43" t="s">
        <v>43</v>
      </c>
      <c r="W413" s="10">
        <f>'[1]V, inciso o) (OP)'!AD220</f>
        <v>42936</v>
      </c>
      <c r="X413" s="10">
        <f>'[1]V, inciso o) (OP)'!AE220</f>
        <v>42977</v>
      </c>
      <c r="Y413" s="7" t="s">
        <v>863</v>
      </c>
      <c r="Z413" s="7" t="s">
        <v>864</v>
      </c>
      <c r="AA413" s="7" t="s">
        <v>253</v>
      </c>
      <c r="AB413" s="21" t="s">
        <v>1548</v>
      </c>
      <c r="AC413" s="6" t="s">
        <v>2438</v>
      </c>
      <c r="AD413" s="6"/>
    </row>
    <row r="414" spans="1:30" ht="69.95" customHeight="1">
      <c r="A414" s="34">
        <v>134</v>
      </c>
      <c r="B414" s="7">
        <v>2017</v>
      </c>
      <c r="C414" s="7" t="s">
        <v>62</v>
      </c>
      <c r="D414" s="6" t="str">
        <f>'[1]V, inciso o) (OP)'!C221</f>
        <v>DOPI-MUN-RM-IM-AD-134-2017</v>
      </c>
      <c r="E414" s="10">
        <f>'[1]V, inciso o) (OP)'!V221</f>
        <v>42935</v>
      </c>
      <c r="F414" s="6" t="str">
        <f>'[1]V, inciso o) (OP)'!AA221</f>
        <v>Automatización del sistema de bombeo en la red de drenaje, cárcamo de agua residuales y construcción de losa de techo en la colonia Lomas Atlas, municipio de Zapopan, Jalisco.</v>
      </c>
      <c r="G414" s="6" t="s">
        <v>63</v>
      </c>
      <c r="H414" s="25">
        <v>997556.34</v>
      </c>
      <c r="I414" s="6" t="s">
        <v>473</v>
      </c>
      <c r="J414" s="6" t="str">
        <f>'[1]V, inciso o) (OP)'!M221</f>
        <v>DAVID SERGIO</v>
      </c>
      <c r="K414" s="7" t="str">
        <f>'[1]V, inciso o) (OP)'!N221</f>
        <v>DOMINGUEZ</v>
      </c>
      <c r="L414" s="7" t="str">
        <f>'[1]V, inciso o) (OP)'!O221</f>
        <v>MEZA</v>
      </c>
      <c r="M414" s="6" t="s">
        <v>3170</v>
      </c>
      <c r="N414" s="7" t="str">
        <f>'[1]V, inciso o) (OP)'!Q221</f>
        <v>VCO9412201J0</v>
      </c>
      <c r="O414" s="11">
        <f t="shared" si="9"/>
        <v>997556.34</v>
      </c>
      <c r="P414" s="11">
        <v>808651.47</v>
      </c>
      <c r="Q414" s="7" t="s">
        <v>880</v>
      </c>
      <c r="R414" s="11">
        <f>O414/268</f>
        <v>3722.2251492537312</v>
      </c>
      <c r="S414" s="7" t="s">
        <v>41</v>
      </c>
      <c r="T414" s="12">
        <v>22905</v>
      </c>
      <c r="U414" s="13" t="s">
        <v>42</v>
      </c>
      <c r="V414" s="7" t="s">
        <v>43</v>
      </c>
      <c r="W414" s="10">
        <f>'[1]V, inciso o) (OP)'!AD221</f>
        <v>42936</v>
      </c>
      <c r="X414" s="10">
        <f>'[1]V, inciso o) (OP)'!AE221</f>
        <v>42977</v>
      </c>
      <c r="Y414" s="7" t="s">
        <v>462</v>
      </c>
      <c r="Z414" s="7" t="s">
        <v>310</v>
      </c>
      <c r="AA414" s="7" t="s">
        <v>130</v>
      </c>
      <c r="AB414" s="21" t="s">
        <v>1549</v>
      </c>
      <c r="AC414" s="6" t="s">
        <v>2438</v>
      </c>
      <c r="AD414" s="6"/>
    </row>
    <row r="415" spans="1:30" ht="69.95" customHeight="1">
      <c r="A415" s="34">
        <v>135</v>
      </c>
      <c r="B415" s="7">
        <v>2017</v>
      </c>
      <c r="C415" s="7" t="s">
        <v>62</v>
      </c>
      <c r="D415" s="6" t="str">
        <f>'[1]V, inciso o) (OP)'!C222</f>
        <v>DOPI-MUN-FORTA-PAV-AD-135-2017</v>
      </c>
      <c r="E415" s="10">
        <f>'[1]V, inciso o) (OP)'!V222</f>
        <v>42930</v>
      </c>
      <c r="F415" s="32" t="str">
        <f>'[1]V, inciso o) (OP)'!AA222</f>
        <v>Construcción de pavimento de concreto hidráulico, incluye: agua potable, alcantarillado, guarniciones, banquetas, accesibilidad y servicios complementarios en la calle Loma del Sol, de calle Loma Real a calle Loma del Valle, colonia Loma Chica, municipio de Zapopan, Jalisco, segunda etapa.</v>
      </c>
      <c r="G415" s="6" t="s">
        <v>3322</v>
      </c>
      <c r="H415" s="25">
        <v>1710514.78</v>
      </c>
      <c r="I415" s="6" t="s">
        <v>883</v>
      </c>
      <c r="J415" s="6" t="str">
        <f>'[1]V, inciso o) (OP)'!M222</f>
        <v>TOMAS</v>
      </c>
      <c r="K415" s="7" t="str">
        <f>'[1]V, inciso o) (OP)'!N222</f>
        <v>SANDOVAL</v>
      </c>
      <c r="L415" s="7" t="str">
        <f>'[1]V, inciso o) (OP)'!O222</f>
        <v>ALVAREZ</v>
      </c>
      <c r="M415" s="6" t="s">
        <v>3171</v>
      </c>
      <c r="N415" s="7" t="str">
        <f>'[1]V, inciso o) (OP)'!Q222</f>
        <v>CRM910909K48</v>
      </c>
      <c r="O415" s="11">
        <f t="shared" si="9"/>
        <v>1710514.78</v>
      </c>
      <c r="P415" s="11">
        <v>1562695.8199999998</v>
      </c>
      <c r="Q415" s="7" t="s">
        <v>884</v>
      </c>
      <c r="R415" s="11">
        <f>O415/180</f>
        <v>9502.8598888888882</v>
      </c>
      <c r="S415" s="7" t="s">
        <v>41</v>
      </c>
      <c r="T415" s="12">
        <v>23048</v>
      </c>
      <c r="U415" s="13" t="s">
        <v>42</v>
      </c>
      <c r="V415" s="43" t="s">
        <v>43</v>
      </c>
      <c r="W415" s="10">
        <f>'[1]V, inciso o) (OP)'!AD222</f>
        <v>42930</v>
      </c>
      <c r="X415" s="10">
        <f>'[1]V, inciso o) (OP)'!AE222</f>
        <v>42993</v>
      </c>
      <c r="Y415" s="7" t="s">
        <v>331</v>
      </c>
      <c r="Z415" s="7" t="s">
        <v>332</v>
      </c>
      <c r="AA415" s="7" t="s">
        <v>116</v>
      </c>
      <c r="AB415" s="21" t="s">
        <v>2655</v>
      </c>
      <c r="AC415" s="6" t="s">
        <v>2438</v>
      </c>
      <c r="AD415" s="6"/>
    </row>
    <row r="416" spans="1:30" ht="69.95" customHeight="1">
      <c r="A416" s="34">
        <v>136</v>
      </c>
      <c r="B416" s="7">
        <v>2017</v>
      </c>
      <c r="C416" s="7" t="s">
        <v>62</v>
      </c>
      <c r="D416" s="6" t="str">
        <f>'[1]V, inciso o) (OP)'!C223</f>
        <v>DOPI-MUN-FORTA-PAV-AD-136-2017</v>
      </c>
      <c r="E416" s="10">
        <f>'[1]V, inciso o) (OP)'!V223</f>
        <v>42935</v>
      </c>
      <c r="F416" s="6" t="str">
        <f>'[1]V, inciso o) (OP)'!AA223</f>
        <v>Sello asfáltico, renivelaciones y bacheo en vialidades de la colonia Loma Bonita Ejidal, municipio de Zapopan, Jalisco, primera etapa.</v>
      </c>
      <c r="G416" s="6" t="s">
        <v>3322</v>
      </c>
      <c r="H416" s="25">
        <v>1004338.5</v>
      </c>
      <c r="I416" s="6" t="s">
        <v>739</v>
      </c>
      <c r="J416" s="6" t="str">
        <f>'[1]V, inciso o) (OP)'!M223</f>
        <v xml:space="preserve">GUILLERMO EMMANUEL </v>
      </c>
      <c r="K416" s="7" t="str">
        <f>'[1]V, inciso o) (OP)'!N223</f>
        <v xml:space="preserve">LARA </v>
      </c>
      <c r="L416" s="7" t="str">
        <f>'[1]V, inciso o) (OP)'!O223</f>
        <v>OCHOA</v>
      </c>
      <c r="M416" s="6" t="s">
        <v>3172</v>
      </c>
      <c r="N416" s="7" t="str">
        <f>'[1]V, inciso o) (OP)'!Q223</f>
        <v>AGC070223J95</v>
      </c>
      <c r="O416" s="11">
        <f t="shared" si="9"/>
        <v>1004338.5</v>
      </c>
      <c r="P416" s="11">
        <v>876774.69</v>
      </c>
      <c r="Q416" s="7" t="s">
        <v>875</v>
      </c>
      <c r="R416" s="11">
        <f>O416/269</f>
        <v>3733.6003717472117</v>
      </c>
      <c r="S416" s="7" t="s">
        <v>41</v>
      </c>
      <c r="T416" s="12">
        <v>20733</v>
      </c>
      <c r="U416" s="13" t="s">
        <v>42</v>
      </c>
      <c r="V416" s="7" t="s">
        <v>43</v>
      </c>
      <c r="W416" s="10">
        <f>'[1]V, inciso o) (OP)'!AD223</f>
        <v>42935</v>
      </c>
      <c r="X416" s="10">
        <f>'[1]V, inciso o) (OP)'!AE223</f>
        <v>42962</v>
      </c>
      <c r="Y416" s="7" t="s">
        <v>360</v>
      </c>
      <c r="Z416" s="7" t="s">
        <v>361</v>
      </c>
      <c r="AA416" s="7" t="s">
        <v>362</v>
      </c>
      <c r="AB416" s="21" t="s">
        <v>1550</v>
      </c>
      <c r="AC416" s="6" t="s">
        <v>2438</v>
      </c>
      <c r="AD416" s="6"/>
    </row>
    <row r="417" spans="1:30" ht="69.95" customHeight="1">
      <c r="A417" s="34">
        <v>137</v>
      </c>
      <c r="B417" s="7">
        <v>2017</v>
      </c>
      <c r="C417" s="7" t="s">
        <v>62</v>
      </c>
      <c r="D417" s="6" t="str">
        <f>'[1]V, inciso o) (OP)'!C224</f>
        <v>DOPI-MUN-RM-PAV-AD-137-2017</v>
      </c>
      <c r="E417" s="10">
        <f>'[1]V, inciso o) (OP)'!V224</f>
        <v>42935</v>
      </c>
      <c r="F417" s="6" t="str">
        <f>'[1]V, inciso o) (OP)'!AA224</f>
        <v>Construcción de camino de acceso a la celda 5 del relleno sanitario Picachos, municipio de Zapopan, Jalisco.</v>
      </c>
      <c r="G417" s="6" t="s">
        <v>63</v>
      </c>
      <c r="H417" s="25">
        <v>978686.25</v>
      </c>
      <c r="I417" s="6" t="s">
        <v>725</v>
      </c>
      <c r="J417" s="6" t="str">
        <f>'[1]V, inciso o) (OP)'!M224</f>
        <v>JESUS DAVID</v>
      </c>
      <c r="K417" s="7" t="str">
        <f>'[1]V, inciso o) (OP)'!N224</f>
        <v xml:space="preserve">GARZA </v>
      </c>
      <c r="L417" s="7" t="str">
        <f>'[1]V, inciso o) (OP)'!O224</f>
        <v>GARCIA</v>
      </c>
      <c r="M417" s="6" t="s">
        <v>3066</v>
      </c>
      <c r="N417" s="7" t="str">
        <f>'[1]V, inciso o) (OP)'!Q224</f>
        <v>CEA010615GT0</v>
      </c>
      <c r="O417" s="11">
        <f t="shared" ref="O417:O480" si="10">H417</f>
        <v>978686.25</v>
      </c>
      <c r="P417" s="11">
        <v>978667.3</v>
      </c>
      <c r="Q417" s="7" t="s">
        <v>885</v>
      </c>
      <c r="R417" s="11">
        <f>O417/266</f>
        <v>3679.2716165413535</v>
      </c>
      <c r="S417" s="7" t="s">
        <v>41</v>
      </c>
      <c r="T417" s="12">
        <v>1332272</v>
      </c>
      <c r="U417" s="13" t="s">
        <v>42</v>
      </c>
      <c r="V417" s="7" t="s">
        <v>43</v>
      </c>
      <c r="W417" s="10">
        <f>'[1]V, inciso o) (OP)'!AD224</f>
        <v>42935</v>
      </c>
      <c r="X417" s="10">
        <f>'[1]V, inciso o) (OP)'!AE224</f>
        <v>42962</v>
      </c>
      <c r="Y417" s="7" t="s">
        <v>460</v>
      </c>
      <c r="Z417" s="7" t="s">
        <v>886</v>
      </c>
      <c r="AA417" s="7" t="s">
        <v>887</v>
      </c>
      <c r="AB417" s="21" t="s">
        <v>2302</v>
      </c>
      <c r="AC417" s="6" t="s">
        <v>2438</v>
      </c>
      <c r="AD417" s="6"/>
    </row>
    <row r="418" spans="1:30" ht="69.95" customHeight="1">
      <c r="A418" s="34">
        <v>138</v>
      </c>
      <c r="B418" s="7">
        <v>2017</v>
      </c>
      <c r="C418" s="7" t="s">
        <v>62</v>
      </c>
      <c r="D418" s="6" t="str">
        <f>'[1]V, inciso o) (OP)'!C225</f>
        <v>DOPI-MUN-FORTA-ID-AD-138-2017</v>
      </c>
      <c r="E418" s="10">
        <f>'[1]V, inciso o) (OP)'!V225</f>
        <v>42935</v>
      </c>
      <c r="F418" s="6" t="str">
        <f>'[1]V, inciso o) (OP)'!AA225</f>
        <v>Albañilería, acabados, pasto sintético y mobiliario urbano en el Polvorín, municipio de Zapopan, Jalisco.</v>
      </c>
      <c r="G418" s="6" t="s">
        <v>3322</v>
      </c>
      <c r="H418" s="25">
        <v>937274.17</v>
      </c>
      <c r="I418" s="6" t="s">
        <v>136</v>
      </c>
      <c r="J418" s="6" t="str">
        <f>'[1]V, inciso o) (OP)'!M225</f>
        <v>JAIME FERNANDO</v>
      </c>
      <c r="K418" s="7" t="str">
        <f>'[1]V, inciso o) (OP)'!N225</f>
        <v>ALVAREZ</v>
      </c>
      <c r="L418" s="7" t="str">
        <f>'[1]V, inciso o) (OP)'!O225</f>
        <v>LOZANO</v>
      </c>
      <c r="M418" s="6" t="s">
        <v>1858</v>
      </c>
      <c r="N418" s="7" t="str">
        <f>'[1]V, inciso o) (OP)'!Q225</f>
        <v>IMU120820NM7</v>
      </c>
      <c r="O418" s="11">
        <f t="shared" si="10"/>
        <v>937274.17</v>
      </c>
      <c r="P418" s="11">
        <v>937272.72</v>
      </c>
      <c r="Q418" s="7" t="s">
        <v>888</v>
      </c>
      <c r="R418" s="11">
        <f>O418/920</f>
        <v>1018.7762717391305</v>
      </c>
      <c r="S418" s="7" t="s">
        <v>41</v>
      </c>
      <c r="T418" s="12">
        <v>1025</v>
      </c>
      <c r="U418" s="13" t="s">
        <v>42</v>
      </c>
      <c r="V418" s="43" t="s">
        <v>43</v>
      </c>
      <c r="W418" s="10">
        <f>'[1]V, inciso o) (OP)'!AD225</f>
        <v>42935</v>
      </c>
      <c r="X418" s="10">
        <f>'[1]V, inciso o) (OP)'!AE225</f>
        <v>42977</v>
      </c>
      <c r="Y418" s="7" t="s">
        <v>462</v>
      </c>
      <c r="Z418" s="7" t="s">
        <v>310</v>
      </c>
      <c r="AA418" s="7" t="s">
        <v>130</v>
      </c>
      <c r="AB418" s="21" t="s">
        <v>2656</v>
      </c>
      <c r="AC418" s="6" t="s">
        <v>2438</v>
      </c>
      <c r="AD418" s="6"/>
    </row>
    <row r="419" spans="1:30" ht="69.95" customHeight="1">
      <c r="A419" s="34">
        <v>139</v>
      </c>
      <c r="B419" s="7">
        <v>2017</v>
      </c>
      <c r="C419" s="7" t="s">
        <v>62</v>
      </c>
      <c r="D419" s="6" t="str">
        <f>'[1]V, inciso o) (OP)'!C226</f>
        <v>DOPI-MUN-RM-IE-AD-139-2017</v>
      </c>
      <c r="E419" s="10">
        <f>'[1]V, inciso o) (OP)'!V226</f>
        <v>42982</v>
      </c>
      <c r="F419" s="6" t="str">
        <f>'[1]V, inciso o) (OP)'!AA226</f>
        <v>Estructura para protección de rayos ultravioleta en la secundaria 18 mixta, ubicada en Privada Circunvalación Oriente, entre Calzada de Los Fresnos y calzada de Los Ángeles, en la colonia Ciudad Granja, municipio de Zapopan, Jalisco.</v>
      </c>
      <c r="G419" s="6" t="s">
        <v>63</v>
      </c>
      <c r="H419" s="25">
        <v>1712572.4</v>
      </c>
      <c r="I419" s="6" t="s">
        <v>195</v>
      </c>
      <c r="J419" s="6" t="str">
        <f>'[1]V, inciso o) (OP)'!M226</f>
        <v xml:space="preserve">JESÚS </v>
      </c>
      <c r="K419" s="7" t="str">
        <f>'[1]V, inciso o) (OP)'!N226</f>
        <v>CUETO</v>
      </c>
      <c r="L419" s="7" t="str">
        <f>'[1]V, inciso o) (OP)'!O226</f>
        <v>GARCÍA</v>
      </c>
      <c r="M419" s="6" t="s">
        <v>2138</v>
      </c>
      <c r="N419" s="7" t="str">
        <f>'[1]V, inciso o) (OP)'!Q226</f>
        <v>CMI0312018W4</v>
      </c>
      <c r="O419" s="11">
        <f t="shared" si="10"/>
        <v>1712572.4</v>
      </c>
      <c r="P419" s="11">
        <v>1375238.5</v>
      </c>
      <c r="Q419" s="7" t="s">
        <v>889</v>
      </c>
      <c r="R419" s="11">
        <f>O419/608</f>
        <v>2816.7309210526314</v>
      </c>
      <c r="S419" s="7" t="s">
        <v>41</v>
      </c>
      <c r="T419" s="12">
        <v>628</v>
      </c>
      <c r="U419" s="13" t="s">
        <v>42</v>
      </c>
      <c r="V419" s="43" t="s">
        <v>43</v>
      </c>
      <c r="W419" s="10">
        <f>'[1]V, inciso o) (OP)'!AD226</f>
        <v>42989</v>
      </c>
      <c r="X419" s="10">
        <f>'[1]V, inciso o) (OP)'!AE226</f>
        <v>43063</v>
      </c>
      <c r="Y419" s="7" t="s">
        <v>462</v>
      </c>
      <c r="Z419" s="7" t="s">
        <v>310</v>
      </c>
      <c r="AA419" s="7" t="s">
        <v>130</v>
      </c>
      <c r="AB419" s="21" t="s">
        <v>1551</v>
      </c>
      <c r="AC419" s="6" t="s">
        <v>2438</v>
      </c>
      <c r="AD419" s="6"/>
    </row>
    <row r="420" spans="1:30" ht="69.95" customHeight="1">
      <c r="A420" s="34">
        <v>140</v>
      </c>
      <c r="B420" s="7">
        <v>2017</v>
      </c>
      <c r="C420" s="7" t="s">
        <v>62</v>
      </c>
      <c r="D420" s="6" t="str">
        <f>'[1]V, inciso o) (OP)'!C227</f>
        <v>DOPI-MUN-R33R-DS-AD-140-2017</v>
      </c>
      <c r="E420" s="10">
        <f>'[1]V, inciso o) (OP)'!V227</f>
        <v>42937</v>
      </c>
      <c r="F420" s="6" t="str">
        <f>'[1]V, inciso o) (OP)'!AA227</f>
        <v>Construcción de red de drenaje sanitario en las calles: San Nicolás, El Palomar e Ing. Gómez, en la colonia los Cajetes, municipio de Zapopan, Jalisco.</v>
      </c>
      <c r="G420" s="6" t="s">
        <v>3326</v>
      </c>
      <c r="H420" s="25">
        <v>997850.24</v>
      </c>
      <c r="I420" s="6" t="s">
        <v>890</v>
      </c>
      <c r="J420" s="6" t="str">
        <f>'[1]V, inciso o) (OP)'!M227</f>
        <v>IRMA GUADALUPE</v>
      </c>
      <c r="K420" s="7" t="str">
        <f>'[1]V, inciso o) (OP)'!N227</f>
        <v>RIZO</v>
      </c>
      <c r="L420" s="7" t="str">
        <f>'[1]V, inciso o) (OP)'!O227</f>
        <v>ACUÑA</v>
      </c>
      <c r="M420" s="6" t="s">
        <v>3173</v>
      </c>
      <c r="N420" s="7" t="str">
        <f>'[1]V, inciso o) (OP)'!Q227</f>
        <v>FGC100909TW9</v>
      </c>
      <c r="O420" s="11">
        <f t="shared" si="10"/>
        <v>997850.24</v>
      </c>
      <c r="P420" s="11">
        <v>993276.64999999991</v>
      </c>
      <c r="Q420" s="7" t="s">
        <v>891</v>
      </c>
      <c r="R420" s="11">
        <f>O420/450</f>
        <v>2217.4449777777777</v>
      </c>
      <c r="S420" s="7" t="s">
        <v>41</v>
      </c>
      <c r="T420" s="12">
        <v>523</v>
      </c>
      <c r="U420" s="13" t="s">
        <v>42</v>
      </c>
      <c r="V420" s="43" t="s">
        <v>43</v>
      </c>
      <c r="W420" s="10">
        <f>'[1]V, inciso o) (OP)'!AD227</f>
        <v>42940</v>
      </c>
      <c r="X420" s="10">
        <f>'[1]V, inciso o) (OP)'!AE227</f>
        <v>43023</v>
      </c>
      <c r="Y420" s="7" t="s">
        <v>360</v>
      </c>
      <c r="Z420" s="7" t="s">
        <v>361</v>
      </c>
      <c r="AA420" s="7" t="s">
        <v>362</v>
      </c>
      <c r="AB420" s="21" t="s">
        <v>1337</v>
      </c>
      <c r="AC420" s="6" t="s">
        <v>2438</v>
      </c>
      <c r="AD420" s="6"/>
    </row>
    <row r="421" spans="1:30" ht="69.95" customHeight="1">
      <c r="A421" s="34">
        <v>141</v>
      </c>
      <c r="B421" s="7">
        <v>2017</v>
      </c>
      <c r="C421" s="7" t="s">
        <v>62</v>
      </c>
      <c r="D421" s="6" t="str">
        <f>'[1]V, inciso o) (OP)'!C228</f>
        <v>DOPI-MUN-FORTA-BAN-AD-141-2017</v>
      </c>
      <c r="E421" s="10">
        <f>'[1]V, inciso o) (OP)'!V228</f>
        <v>42920</v>
      </c>
      <c r="F421" s="6" t="str">
        <f>'[1]V, inciso o) (OP)'!AA228</f>
        <v>Peatonalización, construcción de banquetas, sustitución de guarniciones, bolardos, en Prolongación Av. Guadalupe, de Prolongación Mariano Otero al Arroyo El Garabato, municipio de Zapopan, Jalisco.</v>
      </c>
      <c r="G421" s="6" t="s">
        <v>3322</v>
      </c>
      <c r="H421" s="25">
        <v>1279687.06</v>
      </c>
      <c r="I421" s="6" t="s">
        <v>892</v>
      </c>
      <c r="J421" s="6" t="str">
        <f>'[1]V, inciso o) (OP)'!M228</f>
        <v>SERGIO CESAR</v>
      </c>
      <c r="K421" s="7" t="str">
        <f>'[1]V, inciso o) (OP)'!N228</f>
        <v>DÍAZ</v>
      </c>
      <c r="L421" s="7" t="str">
        <f>'[1]V, inciso o) (OP)'!O228</f>
        <v>QUIROZ</v>
      </c>
      <c r="M421" s="6" t="s">
        <v>1827</v>
      </c>
      <c r="N421" s="7" t="str">
        <f>'[1]V, inciso o) (OP)'!Q228</f>
        <v>TRA750528286</v>
      </c>
      <c r="O421" s="11">
        <f t="shared" si="10"/>
        <v>1279687.06</v>
      </c>
      <c r="P421" s="11">
        <v>923492.66</v>
      </c>
      <c r="Q421" s="7" t="s">
        <v>893</v>
      </c>
      <c r="R421" s="11">
        <f>O421/1063</f>
        <v>1203.8448353715899</v>
      </c>
      <c r="S421" s="7" t="s">
        <v>41</v>
      </c>
      <c r="T421" s="12">
        <v>3695</v>
      </c>
      <c r="U421" s="13" t="s">
        <v>42</v>
      </c>
      <c r="V421" s="43" t="s">
        <v>43</v>
      </c>
      <c r="W421" s="10">
        <f>'[1]V, inciso o) (OP)'!AD228</f>
        <v>42920</v>
      </c>
      <c r="X421" s="10">
        <f>'[1]V, inciso o) (OP)'!AE228</f>
        <v>42962</v>
      </c>
      <c r="Y421" s="7" t="s">
        <v>323</v>
      </c>
      <c r="Z421" s="7" t="s">
        <v>231</v>
      </c>
      <c r="AA421" s="7" t="s">
        <v>143</v>
      </c>
      <c r="AB421" s="21" t="s">
        <v>1552</v>
      </c>
      <c r="AC421" s="6" t="s">
        <v>2438</v>
      </c>
      <c r="AD421" s="6"/>
    </row>
    <row r="422" spans="1:30" ht="69.95" customHeight="1">
      <c r="A422" s="34">
        <v>142</v>
      </c>
      <c r="B422" s="7">
        <v>2017</v>
      </c>
      <c r="C422" s="7" t="s">
        <v>62</v>
      </c>
      <c r="D422" s="6" t="str">
        <f>'[1]V, inciso o) (OP)'!C229</f>
        <v>DOPI-MUN-RM-PAV-AD-142-2017</v>
      </c>
      <c r="E422" s="10">
        <f>'[1]V, inciso o) (OP)'!V229</f>
        <v>42982</v>
      </c>
      <c r="F422" s="6" t="str">
        <f>'[1]V, inciso o) (OP)'!AA229</f>
        <v>Pavimentación con adoquín y empedrado tradicional con material producto de recuperación en diferentes vialidades en el municipio de Zapopan, Jalisco, frente 2.</v>
      </c>
      <c r="G422" s="6" t="s">
        <v>63</v>
      </c>
      <c r="H422" s="25">
        <v>1650254.87</v>
      </c>
      <c r="I422" s="6" t="s">
        <v>1317</v>
      </c>
      <c r="J422" s="6" t="str">
        <f>'[1]V, inciso o) (OP)'!M229</f>
        <v>JOSÉ OMAR</v>
      </c>
      <c r="K422" s="7" t="str">
        <f>'[1]V, inciso o) (OP)'!N229</f>
        <v>FERNÁNDEZ</v>
      </c>
      <c r="L422" s="7" t="str">
        <f>'[1]V, inciso o) (OP)'!O229</f>
        <v>VÁZQUEZ</v>
      </c>
      <c r="M422" s="6" t="s">
        <v>3174</v>
      </c>
      <c r="N422" s="7" t="str">
        <f>'[1]V, inciso o) (OP)'!Q229</f>
        <v>ECO0908115Z7</v>
      </c>
      <c r="O422" s="11">
        <f t="shared" si="10"/>
        <v>1650254.87</v>
      </c>
      <c r="P422" s="11">
        <v>1650254.8800000001</v>
      </c>
      <c r="Q422" s="7" t="s">
        <v>894</v>
      </c>
      <c r="R422" s="11">
        <f>O422/1335</f>
        <v>1236.1459700374533</v>
      </c>
      <c r="S422" s="7" t="s">
        <v>41</v>
      </c>
      <c r="T422" s="12">
        <v>869</v>
      </c>
      <c r="U422" s="13" t="s">
        <v>42</v>
      </c>
      <c r="V422" s="7" t="s">
        <v>43</v>
      </c>
      <c r="W422" s="10">
        <f>'[1]V, inciso o) (OP)'!AD229</f>
        <v>42989</v>
      </c>
      <c r="X422" s="10">
        <f>'[1]V, inciso o) (OP)'!AE229</f>
        <v>43078</v>
      </c>
      <c r="Y422" s="7" t="s">
        <v>742</v>
      </c>
      <c r="Z422" s="7" t="s">
        <v>895</v>
      </c>
      <c r="AA422" s="7" t="s">
        <v>628</v>
      </c>
      <c r="AB422" s="21" t="s">
        <v>1553</v>
      </c>
      <c r="AC422" s="6" t="s">
        <v>2438</v>
      </c>
      <c r="AD422" s="6"/>
    </row>
    <row r="423" spans="1:30" ht="69.95" customHeight="1">
      <c r="A423" s="34">
        <v>143</v>
      </c>
      <c r="B423" s="7">
        <v>2017</v>
      </c>
      <c r="C423" s="7" t="s">
        <v>62</v>
      </c>
      <c r="D423" s="6" t="str">
        <f>'[1]V, inciso o) (OP)'!C230</f>
        <v>DOPI-MUN-RM-PROY-AD-143-2017</v>
      </c>
      <c r="E423" s="10">
        <f>'[1]V, inciso o) (OP)'!V230</f>
        <v>42982</v>
      </c>
      <c r="F423" s="32" t="str">
        <f>'[1]V, inciso o) (OP)'!AA230</f>
        <v>Elaboración de proyecto arquitectónico, acabados e instalaciones eléctricas, voz y datos, hidrosanitarias y gas, aire acondicionado, sonido y gases medicinales para la construcción de la unidad de urgencias de la Cruz Verde, en el kilómetro 1, Carretera a Colotlán, municipio de Zapopan, Jalisco.</v>
      </c>
      <c r="G423" s="6" t="s">
        <v>63</v>
      </c>
      <c r="H423" s="25">
        <v>542300</v>
      </c>
      <c r="I423" s="6" t="s">
        <v>244</v>
      </c>
      <c r="J423" s="6" t="str">
        <f>'[1]V, inciso o) (OP)'!M230</f>
        <v>CARLOS CELSO</v>
      </c>
      <c r="K423" s="7" t="str">
        <f>'[1]V, inciso o) (OP)'!N230</f>
        <v>GARCÍA</v>
      </c>
      <c r="L423" s="7" t="str">
        <f>'[1]V, inciso o) (OP)'!O230</f>
        <v>QUINTERO</v>
      </c>
      <c r="M423" s="6" t="s">
        <v>3164</v>
      </c>
      <c r="N423" s="7" t="str">
        <f>'[1]V, inciso o) (OP)'!Q230</f>
        <v>GCH070702SH8</v>
      </c>
      <c r="O423" s="11">
        <f t="shared" si="10"/>
        <v>542300</v>
      </c>
      <c r="P423" s="11">
        <v>542300</v>
      </c>
      <c r="Q423" s="7" t="s">
        <v>499</v>
      </c>
      <c r="R423" s="11">
        <f>O423/1</f>
        <v>542300</v>
      </c>
      <c r="S423" s="7" t="s">
        <v>121</v>
      </c>
      <c r="T423" s="12" t="s">
        <v>121</v>
      </c>
      <c r="U423" s="13" t="s">
        <v>42</v>
      </c>
      <c r="V423" s="7" t="s">
        <v>373</v>
      </c>
      <c r="W423" s="10">
        <f>'[1]V, inciso o) (OP)'!AD230</f>
        <v>42989</v>
      </c>
      <c r="X423" s="10">
        <f>'[1]V, inciso o) (OP)'!AE230</f>
        <v>43058</v>
      </c>
      <c r="Y423" s="7" t="s">
        <v>680</v>
      </c>
      <c r="Z423" s="7" t="s">
        <v>681</v>
      </c>
      <c r="AA423" s="7" t="s">
        <v>132</v>
      </c>
      <c r="AB423" s="21" t="s">
        <v>1554</v>
      </c>
      <c r="AC423" s="6" t="s">
        <v>2438</v>
      </c>
      <c r="AD423" s="6"/>
    </row>
    <row r="424" spans="1:30" ht="69.95" customHeight="1">
      <c r="A424" s="34">
        <v>144</v>
      </c>
      <c r="B424" s="7">
        <v>2017</v>
      </c>
      <c r="C424" s="7" t="s">
        <v>62</v>
      </c>
      <c r="D424" s="6" t="str">
        <f>'[1]V, inciso o) (OP)'!C231</f>
        <v>DOPI-MUN-R33R-AP-AD-144-2017</v>
      </c>
      <c r="E424" s="10">
        <f>'[1]V, inciso o) (OP)'!V231</f>
        <v>42944</v>
      </c>
      <c r="F424" s="6" t="str">
        <f>'[1]V, inciso o) (OP)'!AA231</f>
        <v>Construcción de red de agua potable y drenaje sanitario en la calle Ramón López Velarde de calle Pablo Neruda a cerrada, y calle Juan José Arreola de calle Pablo Neruda a cerrada, colonia La Coronilla, municipio de Zapopan, Jalisco.</v>
      </c>
      <c r="G424" s="6" t="s">
        <v>3326</v>
      </c>
      <c r="H424" s="25">
        <v>950235.48</v>
      </c>
      <c r="I424" s="6" t="s">
        <v>896</v>
      </c>
      <c r="J424" s="6" t="str">
        <f>'[1]V, inciso o) (OP)'!M231</f>
        <v>JOSÉ DE JESÚS</v>
      </c>
      <c r="K424" s="7" t="str">
        <f>'[1]V, inciso o) (OP)'!N231</f>
        <v>PALAFOX</v>
      </c>
      <c r="L424" s="7" t="str">
        <f>'[1]V, inciso o) (OP)'!O231</f>
        <v>VILLEGAS</v>
      </c>
      <c r="M424" s="6" t="s">
        <v>3175</v>
      </c>
      <c r="N424" s="7" t="str">
        <f>'[1]V, inciso o) (OP)'!Q231</f>
        <v>MCO1510113H8</v>
      </c>
      <c r="O424" s="11">
        <f t="shared" si="10"/>
        <v>950235.48</v>
      </c>
      <c r="P424" s="11">
        <v>407963.32</v>
      </c>
      <c r="Q424" s="7" t="s">
        <v>506</v>
      </c>
      <c r="R424" s="11">
        <f>O424/300</f>
        <v>3167.4515999999999</v>
      </c>
      <c r="S424" s="7" t="s">
        <v>41</v>
      </c>
      <c r="T424" s="12">
        <v>268</v>
      </c>
      <c r="U424" s="13" t="s">
        <v>42</v>
      </c>
      <c r="V424" s="7" t="s">
        <v>43</v>
      </c>
      <c r="W424" s="10">
        <f>'[1]V, inciso o) (OP)'!AD231</f>
        <v>42945</v>
      </c>
      <c r="X424" s="10">
        <f>'[1]V, inciso o) (OP)'!AE231</f>
        <v>43028</v>
      </c>
      <c r="Y424" s="7" t="s">
        <v>360</v>
      </c>
      <c r="Z424" s="7" t="s">
        <v>361</v>
      </c>
      <c r="AA424" s="7" t="s">
        <v>362</v>
      </c>
      <c r="AB424" s="21" t="s">
        <v>2657</v>
      </c>
      <c r="AC424" s="6" t="s">
        <v>2438</v>
      </c>
      <c r="AD424" s="6"/>
    </row>
    <row r="425" spans="1:30" ht="69.95" customHeight="1">
      <c r="A425" s="34">
        <v>145</v>
      </c>
      <c r="B425" s="7">
        <v>2017</v>
      </c>
      <c r="C425" s="6" t="str">
        <f>'[1]V, inciso p) (OP)'!B203</f>
        <v>Licitación por Invitación Restringida</v>
      </c>
      <c r="D425" s="6" t="str">
        <f>'[1]V, inciso p) (OP)'!D203</f>
        <v>DOPI-MUN-RM-PAV-CI-145-2017</v>
      </c>
      <c r="E425" s="10">
        <f>'[1]V, inciso p) (OP)'!AD203</f>
        <v>42975</v>
      </c>
      <c r="F425" s="6" t="str">
        <f>'[1]V, inciso p) (OP)'!AL203</f>
        <v>Programa emergente de bacheo, renivelaciones y sellado en vialidades, Zonas Norte y Centro, municipio de Zapopan, Jalisco.</v>
      </c>
      <c r="G425" s="6" t="s">
        <v>63</v>
      </c>
      <c r="H425" s="25">
        <v>3192151.8</v>
      </c>
      <c r="I425" s="6" t="str">
        <f>'[1]V, inciso p) (OP)'!AS203</f>
        <v>Zonas Norte y Centro</v>
      </c>
      <c r="J425" s="6" t="str">
        <f>'[1]V, inciso p) (OP)'!T203</f>
        <v>MARIO</v>
      </c>
      <c r="K425" s="6" t="str">
        <f>'[1]V, inciso p) (OP)'!U203</f>
        <v>BELTRÁN</v>
      </c>
      <c r="L425" s="6" t="str">
        <f>'[1]V, inciso p) (OP)'!V203</f>
        <v>RODRÍGUEZ Y SUSARREY</v>
      </c>
      <c r="M425" s="6" t="s">
        <v>3176</v>
      </c>
      <c r="N425" s="6" t="str">
        <f>'[1]V, inciso p) (OP)'!X203</f>
        <v>CDB0506068Z4</v>
      </c>
      <c r="O425" s="11">
        <f t="shared" si="10"/>
        <v>3192151.8</v>
      </c>
      <c r="P425" s="11">
        <v>3192151.79</v>
      </c>
      <c r="Q425" s="14" t="s">
        <v>897</v>
      </c>
      <c r="R425" s="15">
        <f>O425/248</f>
        <v>12871.579838709677</v>
      </c>
      <c r="S425" s="7" t="s">
        <v>41</v>
      </c>
      <c r="T425" s="12">
        <v>356804</v>
      </c>
      <c r="U425" s="13" t="s">
        <v>42</v>
      </c>
      <c r="V425" s="7" t="s">
        <v>43</v>
      </c>
      <c r="W425" s="10">
        <f>'[1]V, inciso p) (OP)'!AM203</f>
        <v>42975</v>
      </c>
      <c r="X425" s="10">
        <f>'[1]V, inciso p) (OP)'!AN203</f>
        <v>43035</v>
      </c>
      <c r="Y425" s="7" t="s">
        <v>360</v>
      </c>
      <c r="Z425" s="7" t="s">
        <v>361</v>
      </c>
      <c r="AA425" s="7" t="s">
        <v>362</v>
      </c>
      <c r="AB425" s="21" t="s">
        <v>2658</v>
      </c>
      <c r="AC425" s="6" t="s">
        <v>2438</v>
      </c>
      <c r="AD425" s="6"/>
    </row>
    <row r="426" spans="1:30" ht="69.95" customHeight="1">
      <c r="A426" s="34">
        <v>146</v>
      </c>
      <c r="B426" s="7">
        <v>2017</v>
      </c>
      <c r="C426" s="6" t="str">
        <f>'[1]V, inciso p) (OP)'!B204</f>
        <v>Licitación por Invitación Restringida</v>
      </c>
      <c r="D426" s="6" t="str">
        <f>'[1]V, inciso p) (OP)'!D204</f>
        <v>DOPI-MUN-RM-PAV-CI-146-2017</v>
      </c>
      <c r="E426" s="10">
        <f>'[1]V, inciso p) (OP)'!AD204</f>
        <v>42975</v>
      </c>
      <c r="F426" s="6" t="str">
        <f>'[1]V, inciso p) (OP)'!AL204</f>
        <v>Programa emergente de bacheo, renivelaciones y sellado en vialidades, Zonas Sur y Surponiente, municipio de Zapopan, Jalisco.</v>
      </c>
      <c r="G426" s="6" t="s">
        <v>63</v>
      </c>
      <c r="H426" s="25">
        <v>3149824.73</v>
      </c>
      <c r="I426" s="6" t="str">
        <f>'[1]V, inciso p) (OP)'!AS204</f>
        <v>Zonas Sur y Surponiente</v>
      </c>
      <c r="J426" s="6" t="str">
        <f>'[1]V, inciso p) (OP)'!T204</f>
        <v>ÁNGEL SALOMÓN</v>
      </c>
      <c r="K426" s="6" t="str">
        <f>'[1]V, inciso p) (OP)'!U204</f>
        <v>RINCÓN</v>
      </c>
      <c r="L426" s="6" t="str">
        <f>'[1]V, inciso p) (OP)'!V204</f>
        <v>DE LA ROSA</v>
      </c>
      <c r="M426" s="6" t="s">
        <v>3167</v>
      </c>
      <c r="N426" s="6" t="str">
        <f>'[1]V, inciso p) (OP)'!X204</f>
        <v>AAR120507VA9</v>
      </c>
      <c r="O426" s="11">
        <f t="shared" si="10"/>
        <v>3149824.73</v>
      </c>
      <c r="P426" s="11">
        <v>3146176.65</v>
      </c>
      <c r="Q426" s="14" t="s">
        <v>898</v>
      </c>
      <c r="R426" s="15">
        <f>O426/281</f>
        <v>11209.340676156584</v>
      </c>
      <c r="S426" s="7" t="s">
        <v>41</v>
      </c>
      <c r="T426" s="12">
        <v>398702</v>
      </c>
      <c r="U426" s="13" t="s">
        <v>42</v>
      </c>
      <c r="V426" s="43" t="s">
        <v>43</v>
      </c>
      <c r="W426" s="10">
        <f>'[1]V, inciso p) (OP)'!AM204</f>
        <v>42975</v>
      </c>
      <c r="X426" s="10">
        <f>'[1]V, inciso p) (OP)'!AN204</f>
        <v>43035</v>
      </c>
      <c r="Y426" s="7" t="s">
        <v>360</v>
      </c>
      <c r="Z426" s="7" t="s">
        <v>361</v>
      </c>
      <c r="AA426" s="7" t="s">
        <v>362</v>
      </c>
      <c r="AB426" s="21" t="s">
        <v>2659</v>
      </c>
      <c r="AC426" s="6" t="s">
        <v>2438</v>
      </c>
      <c r="AD426" s="6"/>
    </row>
    <row r="427" spans="1:30" ht="69.95" customHeight="1">
      <c r="A427" s="34">
        <v>147</v>
      </c>
      <c r="B427" s="7">
        <v>2017</v>
      </c>
      <c r="C427" s="6" t="str">
        <f>'[1]V, inciso p) (OP)'!B205</f>
        <v>Licitación por Invitación Restringida</v>
      </c>
      <c r="D427" s="6" t="str">
        <f>'[1]V, inciso p) (OP)'!D205</f>
        <v>DOPI-MUN-RM-PAV-CI-147-2017</v>
      </c>
      <c r="E427" s="10">
        <f>'[1]V, inciso p) (OP)'!AD205</f>
        <v>42975</v>
      </c>
      <c r="F427" s="6" t="str">
        <f>'[1]V, inciso p) (OP)'!AL205</f>
        <v>Programa emergente de bacheo, renivelaciones y sellado en vialidades, Zona Poniente, Frente 2, municipio de Zapopan, Jalisco.</v>
      </c>
      <c r="G427" s="6" t="s">
        <v>63</v>
      </c>
      <c r="H427" s="25">
        <v>2697299.66</v>
      </c>
      <c r="I427" s="6" t="str">
        <f>'[1]V, inciso p) (OP)'!AS205</f>
        <v>Zona Poniente</v>
      </c>
      <c r="J427" s="6" t="str">
        <f>'[1]V, inciso p) (OP)'!T205</f>
        <v>RODRIGO</v>
      </c>
      <c r="K427" s="6" t="str">
        <f>'[1]V, inciso p) (OP)'!U205</f>
        <v>RAMOS</v>
      </c>
      <c r="L427" s="6" t="str">
        <f>'[1]V, inciso p) (OP)'!V205</f>
        <v>GARIBI</v>
      </c>
      <c r="M427" s="6" t="s">
        <v>3177</v>
      </c>
      <c r="N427" s="6" t="str">
        <f>'[1]V, inciso p) (OP)'!X205</f>
        <v>CMA070307RU6</v>
      </c>
      <c r="O427" s="11">
        <f t="shared" si="10"/>
        <v>2697299.66</v>
      </c>
      <c r="P427" s="11">
        <v>2697299.66</v>
      </c>
      <c r="Q427" s="14" t="s">
        <v>899</v>
      </c>
      <c r="R427" s="15">
        <f>O427/210</f>
        <v>12844.284095238096</v>
      </c>
      <c r="S427" s="7" t="s">
        <v>41</v>
      </c>
      <c r="T427" s="12">
        <v>295430</v>
      </c>
      <c r="U427" s="13" t="s">
        <v>42</v>
      </c>
      <c r="V427" s="7" t="s">
        <v>43</v>
      </c>
      <c r="W427" s="10">
        <f>'[1]V, inciso p) (OP)'!AM205</f>
        <v>42975</v>
      </c>
      <c r="X427" s="10">
        <f>'[1]V, inciso p) (OP)'!AN205</f>
        <v>43035</v>
      </c>
      <c r="Y427" s="7" t="s">
        <v>360</v>
      </c>
      <c r="Z427" s="7" t="s">
        <v>361</v>
      </c>
      <c r="AA427" s="7" t="s">
        <v>362</v>
      </c>
      <c r="AB427" s="21" t="s">
        <v>2660</v>
      </c>
      <c r="AC427" s="6" t="s">
        <v>2438</v>
      </c>
      <c r="AD427" s="6"/>
    </row>
    <row r="428" spans="1:30" ht="69.95" customHeight="1">
      <c r="A428" s="34">
        <v>148</v>
      </c>
      <c r="B428" s="7">
        <v>2017</v>
      </c>
      <c r="C428" s="6" t="str">
        <f>'[1]V, inciso p) (OP)'!B206</f>
        <v>Licitación por Invitación Restringida</v>
      </c>
      <c r="D428" s="6" t="str">
        <f>'[1]V, inciso p) (OP)'!D206</f>
        <v>DOPI-MUN-RM-PAV-CI-148-2017</v>
      </c>
      <c r="E428" s="10">
        <f>'[1]V, inciso p) (OP)'!AD206</f>
        <v>42975</v>
      </c>
      <c r="F428" s="6" t="str">
        <f>'[1]V, inciso p) (OP)'!AL206</f>
        <v>Programa emergente de bacheo, renivelaciones y sellado en vialidades, Zonas Norte y Norponiente, municipio de Zapopan, Jalisco.</v>
      </c>
      <c r="G428" s="6" t="s">
        <v>63</v>
      </c>
      <c r="H428" s="25">
        <v>2255906.54</v>
      </c>
      <c r="I428" s="6" t="str">
        <f>'[1]V, inciso p) (OP)'!AS206</f>
        <v>Zonas Norte y Norponiente</v>
      </c>
      <c r="J428" s="6" t="str">
        <f>'[1]V, inciso p) (OP)'!T206</f>
        <v>JOSÉ DE JESÚS</v>
      </c>
      <c r="K428" s="6" t="str">
        <f>'[1]V, inciso p) (OP)'!U206</f>
        <v>ROMERO</v>
      </c>
      <c r="L428" s="6" t="str">
        <f>'[1]V, inciso p) (OP)'!V206</f>
        <v>GARCÍA</v>
      </c>
      <c r="M428" s="6" t="s">
        <v>1837</v>
      </c>
      <c r="N428" s="6" t="str">
        <f>'[1]V, inciso p) (OP)'!X206</f>
        <v>URC160310857</v>
      </c>
      <c r="O428" s="11">
        <f t="shared" si="10"/>
        <v>2255906.54</v>
      </c>
      <c r="P428" s="11">
        <v>2255418.64</v>
      </c>
      <c r="Q428" s="14" t="s">
        <v>900</v>
      </c>
      <c r="R428" s="15">
        <f>O428/184</f>
        <v>12260.361630434783</v>
      </c>
      <c r="S428" s="7" t="s">
        <v>41</v>
      </c>
      <c r="T428" s="12">
        <v>276023</v>
      </c>
      <c r="U428" s="13" t="s">
        <v>42</v>
      </c>
      <c r="V428" s="43" t="s">
        <v>43</v>
      </c>
      <c r="W428" s="10">
        <f>'[1]V, inciso p) (OP)'!AM206</f>
        <v>42975</v>
      </c>
      <c r="X428" s="10">
        <f>'[1]V, inciso p) (OP)'!AN206</f>
        <v>43035</v>
      </c>
      <c r="Y428" s="7" t="s">
        <v>375</v>
      </c>
      <c r="Z428" s="7" t="s">
        <v>252</v>
      </c>
      <c r="AA428" s="7" t="s">
        <v>253</v>
      </c>
      <c r="AB428" s="21" t="s">
        <v>2904</v>
      </c>
      <c r="AC428" s="6" t="s">
        <v>2438</v>
      </c>
      <c r="AD428" s="6"/>
    </row>
    <row r="429" spans="1:30" ht="69.95" customHeight="1">
      <c r="A429" s="34">
        <v>149</v>
      </c>
      <c r="B429" s="7">
        <v>2017</v>
      </c>
      <c r="C429" s="6" t="str">
        <f>'[1]V, inciso p) (OP)'!B207</f>
        <v>Licitación por Invitación Restringida</v>
      </c>
      <c r="D429" s="6" t="str">
        <f>'[1]V, inciso p) (OP)'!D207</f>
        <v>DOPI-MUN-R33R-DS-CI-149-2017</v>
      </c>
      <c r="E429" s="10">
        <f>'[1]V, inciso p) (OP)'!AD207</f>
        <v>42975</v>
      </c>
      <c r="F429" s="6" t="str">
        <f>'[1]V, inciso p) (OP)'!AL207</f>
        <v>Construcción de colector de aguas negras sobre arroyo, de calle Cholollán a calle Paseo de las Bugambilias,  construcción de drenaje en la calle Paseo del Manzano y calle Nogal en la colonia Mesa de los Ocotes, municipio de Zapopan, Jalisco.</v>
      </c>
      <c r="G429" s="6" t="s">
        <v>3326</v>
      </c>
      <c r="H429" s="25">
        <v>4249089</v>
      </c>
      <c r="I429" s="6" t="str">
        <f>'[1]V, inciso p) (OP)'!AS207</f>
        <v>Col. Mesa de los Ocotes</v>
      </c>
      <c r="J429" s="6" t="str">
        <f>'[1]V, inciso p) (OP)'!T207</f>
        <v>OMAR</v>
      </c>
      <c r="K429" s="6" t="str">
        <f>'[1]V, inciso p) (OP)'!U207</f>
        <v>MORA</v>
      </c>
      <c r="L429" s="6" t="str">
        <f>'[1]V, inciso p) (OP)'!V207</f>
        <v>MONTES DE OCA</v>
      </c>
      <c r="M429" s="6" t="s">
        <v>3178</v>
      </c>
      <c r="N429" s="6" t="str">
        <f>'[1]V, inciso p) (OP)'!X207</f>
        <v>DCO130215C16</v>
      </c>
      <c r="O429" s="11">
        <f t="shared" si="10"/>
        <v>4249089</v>
      </c>
      <c r="P429" s="11">
        <v>4249089</v>
      </c>
      <c r="Q429" s="14" t="s">
        <v>901</v>
      </c>
      <c r="R429" s="15">
        <f>O429/1010</f>
        <v>4207.0188118811884</v>
      </c>
      <c r="S429" s="7" t="s">
        <v>41</v>
      </c>
      <c r="T429" s="12">
        <v>256</v>
      </c>
      <c r="U429" s="13" t="s">
        <v>42</v>
      </c>
      <c r="V429" s="7" t="s">
        <v>43</v>
      </c>
      <c r="W429" s="10">
        <f>'[1]V, inciso p) (OP)'!AM207</f>
        <v>42975</v>
      </c>
      <c r="X429" s="10">
        <f>'[1]V, inciso p) (OP)'!AN207</f>
        <v>43079</v>
      </c>
      <c r="Y429" s="7" t="s">
        <v>753</v>
      </c>
      <c r="Z429" s="7" t="s">
        <v>827</v>
      </c>
      <c r="AA429" s="7" t="s">
        <v>755</v>
      </c>
      <c r="AB429" s="21" t="s">
        <v>2661</v>
      </c>
      <c r="AC429" s="6" t="s">
        <v>2438</v>
      </c>
      <c r="AD429" s="6"/>
    </row>
    <row r="430" spans="1:30" ht="69.95" customHeight="1">
      <c r="A430" s="34">
        <v>150</v>
      </c>
      <c r="B430" s="7">
        <v>2017</v>
      </c>
      <c r="C430" s="6" t="str">
        <f>'[1]V, inciso p) (OP)'!B208</f>
        <v>Licitación por Invitación Restringida</v>
      </c>
      <c r="D430" s="6" t="str">
        <f>'[1]V, inciso p) (OP)'!D208</f>
        <v>DOPI-MUN-R33-DS-CI-150-2017</v>
      </c>
      <c r="E430" s="10">
        <f>'[1]V, inciso p) (OP)'!AD208</f>
        <v>42975</v>
      </c>
      <c r="F430" s="6" t="str">
        <f>'[1]V, inciso p) (OP)'!AL208</f>
        <v>Construcción de red de agua potable y drenaje sanitario en la colonia Lomas del Centinela 2, municipio de Zapopan, Jalisco. Primera etapa.</v>
      </c>
      <c r="G430" s="6" t="s">
        <v>3325</v>
      </c>
      <c r="H430" s="25">
        <v>6378234.8399999999</v>
      </c>
      <c r="I430" s="6" t="str">
        <f>'[1]V, inciso p) (OP)'!AS208</f>
        <v>Col. Lomas del Centinela 2</v>
      </c>
      <c r="J430" s="6" t="str">
        <f>'[1]V, inciso p) (OP)'!T208</f>
        <v xml:space="preserve">RODOLFO </v>
      </c>
      <c r="K430" s="6" t="str">
        <f>'[1]V, inciso p) (OP)'!U208</f>
        <v xml:space="preserve">VELAZQUEZ </v>
      </c>
      <c r="L430" s="6" t="str">
        <f>'[1]V, inciso p) (OP)'!V208</f>
        <v>ORDOÑEZ</v>
      </c>
      <c r="M430" s="6" t="s">
        <v>3065</v>
      </c>
      <c r="N430" s="6" t="str">
        <f>'[1]V, inciso p) (OP)'!X208</f>
        <v>VIE110125RL4</v>
      </c>
      <c r="O430" s="11">
        <f t="shared" si="10"/>
        <v>6378234.8399999999</v>
      </c>
      <c r="P430" s="11">
        <v>6378234.8299999991</v>
      </c>
      <c r="Q430" s="14" t="s">
        <v>902</v>
      </c>
      <c r="R430" s="15">
        <f>O430/650</f>
        <v>9812.668984615384</v>
      </c>
      <c r="S430" s="7" t="s">
        <v>41</v>
      </c>
      <c r="T430" s="12">
        <v>365</v>
      </c>
      <c r="U430" s="13" t="s">
        <v>42</v>
      </c>
      <c r="V430" s="7" t="s">
        <v>43</v>
      </c>
      <c r="W430" s="10">
        <f>'[1]V, inciso p) (OP)'!AM208</f>
        <v>42975</v>
      </c>
      <c r="X430" s="10">
        <f>'[1]V, inciso p) (OP)'!AN208</f>
        <v>43079</v>
      </c>
      <c r="Y430" s="7" t="s">
        <v>903</v>
      </c>
      <c r="Z430" s="7" t="s">
        <v>904</v>
      </c>
      <c r="AA430" s="7" t="s">
        <v>94</v>
      </c>
      <c r="AB430" s="21" t="s">
        <v>2662</v>
      </c>
      <c r="AC430" s="6" t="s">
        <v>2438</v>
      </c>
      <c r="AD430" s="6"/>
    </row>
    <row r="431" spans="1:30" ht="69.95" customHeight="1">
      <c r="A431" s="34">
        <v>151</v>
      </c>
      <c r="B431" s="7">
        <v>2017</v>
      </c>
      <c r="C431" s="6" t="str">
        <f>'[1]V, inciso p) (OP)'!B209</f>
        <v>Licitación por Invitación Restringida</v>
      </c>
      <c r="D431" s="6" t="str">
        <f>'[1]V, inciso p) (OP)'!D209</f>
        <v>DOPI-MUN-R33R-DS-CI-151-2017</v>
      </c>
      <c r="E431" s="10">
        <f>'[1]V, inciso p) (OP)'!AD209</f>
        <v>42975</v>
      </c>
      <c r="F431" s="6" t="str">
        <f>'[1]V, inciso p) (OP)'!AL209</f>
        <v>Construcción de red de drenaje en las calles Oxtol, Zochiquetzal, Texcoco, Cuaticue, Pachtli y Negri en la colonia Mesa Colorada Poniente, municipio de Zapopan, Jalisco.</v>
      </c>
      <c r="G431" s="6" t="s">
        <v>3326</v>
      </c>
      <c r="H431" s="25">
        <v>6048490.1900000004</v>
      </c>
      <c r="I431" s="6" t="str">
        <f>'[1]V, inciso p) (OP)'!AS209</f>
        <v>Col. Mesa Colorada</v>
      </c>
      <c r="J431" s="6" t="str">
        <f>'[1]V, inciso p) (OP)'!T209</f>
        <v xml:space="preserve">EDUARDO </v>
      </c>
      <c r="K431" s="6" t="str">
        <f>'[1]V, inciso p) (OP)'!U209</f>
        <v>CRUZ</v>
      </c>
      <c r="L431" s="6" t="str">
        <f>'[1]V, inciso p) (OP)'!V209</f>
        <v>MOGUEL</v>
      </c>
      <c r="M431" s="6" t="s">
        <v>1941</v>
      </c>
      <c r="N431" s="6" t="str">
        <f>'[1]V, inciso p) (OP)'!X209</f>
        <v>BAL990803661</v>
      </c>
      <c r="O431" s="11">
        <f t="shared" si="10"/>
        <v>6048490.1900000004</v>
      </c>
      <c r="P431" s="11">
        <f>O431</f>
        <v>6048490.1900000004</v>
      </c>
      <c r="Q431" s="14" t="s">
        <v>905</v>
      </c>
      <c r="R431" s="15">
        <f>O431/1045</f>
        <v>5788.0288899521538</v>
      </c>
      <c r="S431" s="7" t="s">
        <v>41</v>
      </c>
      <c r="T431" s="12">
        <v>121</v>
      </c>
      <c r="U431" s="13" t="s">
        <v>42</v>
      </c>
      <c r="V431" s="7" t="s">
        <v>373</v>
      </c>
      <c r="W431" s="10">
        <f>'[1]V, inciso p) (OP)'!AM209</f>
        <v>42975</v>
      </c>
      <c r="X431" s="10">
        <f>'[1]V, inciso p) (OP)'!AN209</f>
        <v>43079</v>
      </c>
      <c r="Y431" s="7" t="s">
        <v>345</v>
      </c>
      <c r="Z431" s="7" t="s">
        <v>346</v>
      </c>
      <c r="AA431" s="7" t="s">
        <v>347</v>
      </c>
      <c r="AB431" s="21" t="s">
        <v>2663</v>
      </c>
      <c r="AC431" s="6" t="s">
        <v>2438</v>
      </c>
      <c r="AD431" s="6"/>
    </row>
    <row r="432" spans="1:30" ht="69.95" customHeight="1">
      <c r="A432" s="34">
        <v>152</v>
      </c>
      <c r="B432" s="7">
        <v>2017</v>
      </c>
      <c r="C432" s="6" t="str">
        <f>'[1]V, inciso p) (OP)'!B210</f>
        <v>Licitación por Invitación Restringida</v>
      </c>
      <c r="D432" s="6" t="str">
        <f>'[1]V, inciso p) (OP)'!D210</f>
        <v>DOPI-MUN-R33R-IH-CI-152-2017</v>
      </c>
      <c r="E432" s="10">
        <f>'[1]V, inciso p) (OP)'!AD210</f>
        <v>42975</v>
      </c>
      <c r="F432" s="32" t="str">
        <f>'[1]V, inciso p) (OP)'!AL210</f>
        <v>Construcción de línea de conducción del poblado San Rafael hasta el poblado Río Blanco y construcción de línea de conducción del pozo al tanque en el poblado de Río Blanco en la colonia San Rafael y Río Blanco, Municipio de Zapopan, Jalisco.</v>
      </c>
      <c r="G432" s="6" t="s">
        <v>3326</v>
      </c>
      <c r="H432" s="25">
        <v>2284098.15</v>
      </c>
      <c r="I432" s="6" t="str">
        <f>'[1]V, inciso p) (OP)'!AS210</f>
        <v>Col. San Rafael y Rio Blanco</v>
      </c>
      <c r="J432" s="6" t="str">
        <f>'[1]V, inciso p) (OP)'!T210</f>
        <v xml:space="preserve">EDUARDO </v>
      </c>
      <c r="K432" s="6" t="str">
        <f>'[1]V, inciso p) (OP)'!U210</f>
        <v>MORA</v>
      </c>
      <c r="L432" s="6" t="str">
        <f>'[1]V, inciso p) (OP)'!V210</f>
        <v>BLACKALLER</v>
      </c>
      <c r="M432" s="6" t="s">
        <v>1919</v>
      </c>
      <c r="N432" s="6" t="str">
        <f>'[1]V, inciso p) (OP)'!X210</f>
        <v>GCI070523CW4</v>
      </c>
      <c r="O432" s="11">
        <f t="shared" si="10"/>
        <v>2284098.15</v>
      </c>
      <c r="P432" s="11">
        <v>2284098.1500000004</v>
      </c>
      <c r="Q432" s="14" t="s">
        <v>906</v>
      </c>
      <c r="R432" s="15">
        <f>O432/3205</f>
        <v>712.66712948517943</v>
      </c>
      <c r="S432" s="7" t="s">
        <v>41</v>
      </c>
      <c r="T432" s="12">
        <v>205</v>
      </c>
      <c r="U432" s="13" t="s">
        <v>42</v>
      </c>
      <c r="V432" s="7" t="s">
        <v>43</v>
      </c>
      <c r="W432" s="10">
        <f>'[1]V, inciso p) (OP)'!AM210</f>
        <v>42975</v>
      </c>
      <c r="X432" s="10">
        <f>'[1]V, inciso p) (OP)'!AN210</f>
        <v>43079</v>
      </c>
      <c r="Y432" s="7" t="s">
        <v>460</v>
      </c>
      <c r="Z432" s="7" t="s">
        <v>302</v>
      </c>
      <c r="AA432" s="7" t="s">
        <v>303</v>
      </c>
      <c r="AB432" s="21" t="s">
        <v>2665</v>
      </c>
      <c r="AC432" s="6" t="s">
        <v>2438</v>
      </c>
      <c r="AD432" s="6"/>
    </row>
    <row r="433" spans="1:30" ht="69.95" customHeight="1">
      <c r="A433" s="34">
        <v>153</v>
      </c>
      <c r="B433" s="7">
        <v>2017</v>
      </c>
      <c r="C433" s="6" t="str">
        <f>'[1]V, inciso p) (OP)'!B211</f>
        <v>Licitación por Invitación Restringida</v>
      </c>
      <c r="D433" s="6" t="str">
        <f>'[1]V, inciso p) (OP)'!D211</f>
        <v>DOPI-MUN-R33R-IH-CI-153-2017</v>
      </c>
      <c r="E433" s="10">
        <f>'[1]V, inciso p) (OP)'!AD211</f>
        <v>42975</v>
      </c>
      <c r="F433" s="32" t="str">
        <f>'[1]V, inciso p) (OP)'!AL211</f>
        <v>Construcción de red de agua potable en la calle Garzas entre Cenzontle y carretera Colotlán, calle Canario entre Cenzontle y Carretera Colotlán y calle Gaviotas entre carretera Colotlán y prolongación Garzas en las colonias La Vinatera y Ejido Copalita, municipio de Zapopan, Jalisco.</v>
      </c>
      <c r="G433" s="6" t="s">
        <v>3326</v>
      </c>
      <c r="H433" s="25">
        <v>3699901.7</v>
      </c>
      <c r="I433" s="6" t="str">
        <f>'[1]V, inciso p) (OP)'!AS211</f>
        <v>Colonias La Vinatera y Ejido Copalita</v>
      </c>
      <c r="J433" s="6" t="str">
        <f>'[1]V, inciso p) (OP)'!T211</f>
        <v>MIGUEL ÁNGEL</v>
      </c>
      <c r="K433" s="6" t="str">
        <f>'[1]V, inciso p) (OP)'!U211</f>
        <v>ROMERO</v>
      </c>
      <c r="L433" s="6" t="str">
        <f>'[1]V, inciso p) (OP)'!V211</f>
        <v>LUGO</v>
      </c>
      <c r="M433" s="6" t="s">
        <v>3179</v>
      </c>
      <c r="N433" s="6" t="str">
        <f>'[1]V, inciso p) (OP)'!X211</f>
        <v>OCC940714PB0</v>
      </c>
      <c r="O433" s="11">
        <f t="shared" si="10"/>
        <v>3699901.7</v>
      </c>
      <c r="P433" s="11">
        <v>3699901.6999999997</v>
      </c>
      <c r="Q433" s="14" t="s">
        <v>907</v>
      </c>
      <c r="R433" s="15">
        <f>O433/2122</f>
        <v>1743.591753063148</v>
      </c>
      <c r="S433" s="7" t="s">
        <v>41</v>
      </c>
      <c r="T433" s="12">
        <v>106</v>
      </c>
      <c r="U433" s="13" t="s">
        <v>42</v>
      </c>
      <c r="V433" s="7" t="s">
        <v>43</v>
      </c>
      <c r="W433" s="10">
        <f>'[1]V, inciso p) (OP)'!AM211</f>
        <v>42975</v>
      </c>
      <c r="X433" s="10">
        <f>'[1]V, inciso p) (OP)'!AN211</f>
        <v>43079</v>
      </c>
      <c r="Y433" s="7" t="s">
        <v>331</v>
      </c>
      <c r="Z433" s="7" t="s">
        <v>332</v>
      </c>
      <c r="AA433" s="7" t="s">
        <v>116</v>
      </c>
      <c r="AB433" s="21" t="s">
        <v>2666</v>
      </c>
      <c r="AC433" s="6" t="s">
        <v>2438</v>
      </c>
      <c r="AD433" s="6"/>
    </row>
    <row r="434" spans="1:30" ht="69.95" customHeight="1">
      <c r="A434" s="34">
        <v>154</v>
      </c>
      <c r="B434" s="7">
        <v>2017</v>
      </c>
      <c r="C434" s="6" t="str">
        <f>'[1]V, inciso p) (OP)'!B212</f>
        <v>Licitación por Invitación Restringida</v>
      </c>
      <c r="D434" s="6" t="str">
        <f>'[1]V, inciso p) (OP)'!D212</f>
        <v>DOPI-MUN-R33R-PAV-CI-154-2017</v>
      </c>
      <c r="E434" s="10">
        <f>'[1]V, inciso p) (OP)'!AD212</f>
        <v>42975</v>
      </c>
      <c r="F434" s="6" t="str">
        <f>'[1]V, inciso p) (OP)'!AL212</f>
        <v>Pavimentación de las calles Cofradía y Panteón, incluye: red de agua potable y de drenaje sanitario en la colonia La Venta del Astillero, municipio de Zapopan, Jalisco.</v>
      </c>
      <c r="G434" s="6" t="s">
        <v>3326</v>
      </c>
      <c r="H434" s="25">
        <v>3973341.33</v>
      </c>
      <c r="I434" s="6" t="str">
        <f>'[1]V, inciso p) (OP)'!AS212</f>
        <v>Col. Venta del Astillero</v>
      </c>
      <c r="J434" s="6" t="str">
        <f>'[1]V, inciso p) (OP)'!T212</f>
        <v>EDWIN</v>
      </c>
      <c r="K434" s="6" t="str">
        <f>'[1]V, inciso p) (OP)'!U212</f>
        <v>AGUIAR</v>
      </c>
      <c r="L434" s="6" t="str">
        <f>'[1]V, inciso p) (OP)'!V212</f>
        <v>ESCATEL</v>
      </c>
      <c r="M434" s="6" t="s">
        <v>2047</v>
      </c>
      <c r="N434" s="6" t="str">
        <f>'[1]V, inciso p) (OP)'!X212</f>
        <v>MUR090325P33</v>
      </c>
      <c r="O434" s="11">
        <f t="shared" si="10"/>
        <v>3973341.33</v>
      </c>
      <c r="P434" s="11">
        <v>2250837.4900000002</v>
      </c>
      <c r="Q434" s="14" t="s">
        <v>908</v>
      </c>
      <c r="R434" s="15">
        <f>O434/1709</f>
        <v>2324.951041544763</v>
      </c>
      <c r="S434" s="7" t="s">
        <v>41</v>
      </c>
      <c r="T434" s="12">
        <v>625</v>
      </c>
      <c r="U434" s="13" t="s">
        <v>42</v>
      </c>
      <c r="V434" s="43" t="s">
        <v>43</v>
      </c>
      <c r="W434" s="10">
        <f>'[1]V, inciso p) (OP)'!AM212</f>
        <v>42975</v>
      </c>
      <c r="X434" s="10">
        <f>'[1]V, inciso p) (OP)'!AN212</f>
        <v>43079</v>
      </c>
      <c r="Y434" s="7" t="s">
        <v>903</v>
      </c>
      <c r="Z434" s="7" t="s">
        <v>904</v>
      </c>
      <c r="AA434" s="7" t="s">
        <v>94</v>
      </c>
      <c r="AB434" s="21" t="s">
        <v>2667</v>
      </c>
      <c r="AC434" s="6" t="s">
        <v>2438</v>
      </c>
      <c r="AD434" s="6"/>
    </row>
    <row r="435" spans="1:30" ht="69.95" customHeight="1">
      <c r="A435" s="34">
        <v>155</v>
      </c>
      <c r="B435" s="7">
        <v>2017</v>
      </c>
      <c r="C435" s="6" t="str">
        <f>'[1]V, inciso p) (OP)'!B213</f>
        <v>Licitación por Invitación Restringida</v>
      </c>
      <c r="D435" s="6" t="str">
        <f>'[1]V, inciso p) (OP)'!D213</f>
        <v>DOPI-MUN-R33R-PAV-CI-155-2017</v>
      </c>
      <c r="E435" s="10">
        <f>'[1]V, inciso p) (OP)'!AD213</f>
        <v>42975</v>
      </c>
      <c r="F435" s="6" t="str">
        <f>'[1]V, inciso p) (OP)'!AL213</f>
        <v>Pavimentación de la calle Manzanos y andadores en la colonia Agua Fría, municipio de Zapopan, Jalisco.</v>
      </c>
      <c r="G435" s="6" t="s">
        <v>3326</v>
      </c>
      <c r="H435" s="25">
        <v>4555855.34</v>
      </c>
      <c r="I435" s="6" t="str">
        <f>'[1]V, inciso p) (OP)'!AS213</f>
        <v>Col. Agua Fria</v>
      </c>
      <c r="J435" s="6" t="str">
        <f>'[1]V, inciso p) (OP)'!T213</f>
        <v xml:space="preserve">MARCO ANTONIO </v>
      </c>
      <c r="K435" s="6" t="str">
        <f>'[1]V, inciso p) (OP)'!U213</f>
        <v>LOZANO</v>
      </c>
      <c r="L435" s="6" t="str">
        <f>'[1]V, inciso p) (OP)'!V213</f>
        <v>ESTRADA</v>
      </c>
      <c r="M435" s="6" t="s">
        <v>3180</v>
      </c>
      <c r="N435" s="6" t="str">
        <f>'[1]V, inciso p) (OP)'!X213</f>
        <v>DFU090928JB5</v>
      </c>
      <c r="O435" s="11">
        <f t="shared" si="10"/>
        <v>4555855.34</v>
      </c>
      <c r="P435" s="11">
        <v>3959493.88</v>
      </c>
      <c r="Q435" s="14" t="s">
        <v>909</v>
      </c>
      <c r="R435" s="15">
        <f>O435/1897</f>
        <v>2401.6106167633102</v>
      </c>
      <c r="S435" s="7" t="s">
        <v>41</v>
      </c>
      <c r="T435" s="12">
        <v>621</v>
      </c>
      <c r="U435" s="13" t="s">
        <v>42</v>
      </c>
      <c r="V435" s="43" t="s">
        <v>43</v>
      </c>
      <c r="W435" s="10">
        <f>'[1]V, inciso p) (OP)'!AM213</f>
        <v>42975</v>
      </c>
      <c r="X435" s="10">
        <f>'[1]V, inciso p) (OP)'!AN213</f>
        <v>43079</v>
      </c>
      <c r="Y435" s="7" t="s">
        <v>903</v>
      </c>
      <c r="Z435" s="7" t="s">
        <v>904</v>
      </c>
      <c r="AA435" s="7" t="s">
        <v>94</v>
      </c>
      <c r="AB435" s="21" t="s">
        <v>2668</v>
      </c>
      <c r="AC435" s="6" t="s">
        <v>2438</v>
      </c>
      <c r="AD435" s="6"/>
    </row>
    <row r="436" spans="1:30" ht="69.95" customHeight="1">
      <c r="A436" s="34">
        <v>157</v>
      </c>
      <c r="B436" s="7">
        <v>2017</v>
      </c>
      <c r="C436" s="6" t="str">
        <f>'[1]V, inciso p) (OP)'!B214</f>
        <v>Licitación por Invitación Restringida</v>
      </c>
      <c r="D436" s="6" t="str">
        <f>'[1]V, inciso p) (OP)'!D214</f>
        <v>DOPI-MUN-R33R-DS-CI-157-2017</v>
      </c>
      <c r="E436" s="10">
        <f>'[1]V, inciso p) (OP)'!AD214</f>
        <v>42975</v>
      </c>
      <c r="F436" s="6" t="str">
        <f>'[1]V, inciso p) (OP)'!AL214</f>
        <v>Construcción de Colector y red de drenaje sanitario en las calles Naranjo, Mandarina, Chabacano, Limón, Manzano, Mango, Las Torres, Guamúchil y Capulín en la colonia Colinas del Rio, municipio de Zapopan, Jalisco. Frente 1.</v>
      </c>
      <c r="G436" s="6" t="s">
        <v>3326</v>
      </c>
      <c r="H436" s="25">
        <v>4388451.67</v>
      </c>
      <c r="I436" s="6" t="str">
        <f>'[1]V, inciso p) (OP)'!AS214</f>
        <v>Col. Colinas del Rio</v>
      </c>
      <c r="J436" s="6" t="str">
        <f>'[1]V, inciso p) (OP)'!T214</f>
        <v>CLAUDIO FELIPE</v>
      </c>
      <c r="K436" s="6" t="str">
        <f>'[1]V, inciso p) (OP)'!U214</f>
        <v>TRUJILLO</v>
      </c>
      <c r="L436" s="6" t="str">
        <f>'[1]V, inciso p) (OP)'!V214</f>
        <v>GRACIAN</v>
      </c>
      <c r="M436" s="6" t="s">
        <v>1993</v>
      </c>
      <c r="N436" s="6" t="str">
        <f>'[1]V, inciso p) (OP)'!X214</f>
        <v>DLU100818F46</v>
      </c>
      <c r="O436" s="11">
        <f t="shared" si="10"/>
        <v>4388451.67</v>
      </c>
      <c r="P436" s="11">
        <v>4388451.67</v>
      </c>
      <c r="Q436" s="14" t="s">
        <v>910</v>
      </c>
      <c r="R436" s="15">
        <f>O436/98</f>
        <v>44780.119081632649</v>
      </c>
      <c r="S436" s="7" t="s">
        <v>41</v>
      </c>
      <c r="T436" s="12">
        <v>412</v>
      </c>
      <c r="U436" s="13" t="s">
        <v>42</v>
      </c>
      <c r="V436" s="7" t="s">
        <v>373</v>
      </c>
      <c r="W436" s="10">
        <f>'[1]V, inciso p) (OP)'!AM214</f>
        <v>42975</v>
      </c>
      <c r="X436" s="10">
        <f>'[1]V, inciso p) (OP)'!AN214</f>
        <v>43079</v>
      </c>
      <c r="Y436" s="7" t="s">
        <v>729</v>
      </c>
      <c r="Z436" s="7" t="s">
        <v>911</v>
      </c>
      <c r="AA436" s="7" t="s">
        <v>186</v>
      </c>
      <c r="AB436" s="21" t="s">
        <v>2669</v>
      </c>
      <c r="AC436" s="6" t="s">
        <v>2438</v>
      </c>
      <c r="AD436" s="6"/>
    </row>
    <row r="437" spans="1:30" ht="69.95" customHeight="1">
      <c r="A437" s="34">
        <v>158</v>
      </c>
      <c r="B437" s="7">
        <v>2017</v>
      </c>
      <c r="C437" s="6" t="str">
        <f>'[1]V, inciso p) (OP)'!B215</f>
        <v>Licitación por Invitación Restringida</v>
      </c>
      <c r="D437" s="6" t="str">
        <f>'[1]V, inciso p) (OP)'!D215</f>
        <v>DOPI-MUN-R33R-PAV-CI-158-2017</v>
      </c>
      <c r="E437" s="10">
        <f>'[1]V, inciso p) (OP)'!AD215</f>
        <v>42975</v>
      </c>
      <c r="F437" s="32" t="str">
        <f>'[1]V, inciso p) (OP)'!AL215</f>
        <v>Pavimentación con concreto hidráulico y complemento de las redes de agua potable y drenaje sanitario en calles de la colonia El Fresno, incluye: guarniciones, banquetas, servicios complementarios y señalética, en el municipio de Zapopan, Jalisco, primera etapa, frente 1.</v>
      </c>
      <c r="G437" s="6" t="s">
        <v>3326</v>
      </c>
      <c r="H437" s="25">
        <v>3902689.29</v>
      </c>
      <c r="I437" s="6" t="str">
        <f>'[1]V, inciso p) (OP)'!AS215</f>
        <v>Col. El Fresno</v>
      </c>
      <c r="J437" s="6" t="str">
        <f>'[1]V, inciso p) (OP)'!T215</f>
        <v>JUAN JOSÉ</v>
      </c>
      <c r="K437" s="6" t="str">
        <f>'[1]V, inciso p) (OP)'!U215</f>
        <v>GUTIÉRREZ</v>
      </c>
      <c r="L437" s="6" t="str">
        <f>'[1]V, inciso p) (OP)'!V215</f>
        <v>CONTRERAS</v>
      </c>
      <c r="M437" s="6" t="s">
        <v>3158</v>
      </c>
      <c r="N437" s="6" t="str">
        <f>'[1]V, inciso p) (OP)'!X215</f>
        <v>RCO130920JX9</v>
      </c>
      <c r="O437" s="11">
        <f t="shared" si="10"/>
        <v>3902689.29</v>
      </c>
      <c r="P437" s="11">
        <v>3902688.39</v>
      </c>
      <c r="Q437" s="14" t="s">
        <v>912</v>
      </c>
      <c r="R437" s="15">
        <f>O437/2086</f>
        <v>1870.8961121764141</v>
      </c>
      <c r="S437" s="7" t="s">
        <v>41</v>
      </c>
      <c r="T437" s="12">
        <v>354</v>
      </c>
      <c r="U437" s="13" t="s">
        <v>42</v>
      </c>
      <c r="V437" s="7" t="s">
        <v>43</v>
      </c>
      <c r="W437" s="10">
        <f>'[1]V, inciso p) (OP)'!AM215</f>
        <v>42975</v>
      </c>
      <c r="X437" s="10">
        <f>'[1]V, inciso p) (OP)'!AN215</f>
        <v>43079</v>
      </c>
      <c r="Y437" s="7" t="s">
        <v>815</v>
      </c>
      <c r="Z437" s="7" t="s">
        <v>816</v>
      </c>
      <c r="AA437" s="7" t="s">
        <v>130</v>
      </c>
      <c r="AB437" s="21" t="s">
        <v>2670</v>
      </c>
      <c r="AC437" s="6" t="s">
        <v>2438</v>
      </c>
      <c r="AD437" s="6"/>
    </row>
    <row r="438" spans="1:30" ht="69.95" customHeight="1">
      <c r="A438" s="34">
        <v>159</v>
      </c>
      <c r="B438" s="7">
        <v>2017</v>
      </c>
      <c r="C438" s="6" t="str">
        <f>'[1]V, inciso p) (OP)'!B216</f>
        <v>Licitación por Invitación Restringida</v>
      </c>
      <c r="D438" s="6" t="str">
        <f>'[1]V, inciso p) (OP)'!D216</f>
        <v>DOPI-MUN-R33R-DS-CI-159-2017</v>
      </c>
      <c r="E438" s="10">
        <f>'[1]V, inciso p) (OP)'!AD216</f>
        <v>42975</v>
      </c>
      <c r="F438" s="6" t="str">
        <f>'[1]V, inciso p) (OP)'!AL216</f>
        <v>Construcción de Red de drenaje sanitario y línea de alejamiento en calles de la Colonia Rancho El Colorado, municipio de Zapopan, Jalisco. Frente 1.</v>
      </c>
      <c r="G438" s="6" t="s">
        <v>3326</v>
      </c>
      <c r="H438" s="25">
        <v>4300702.76</v>
      </c>
      <c r="I438" s="6" t="str">
        <f>'[1]V, inciso p) (OP)'!AS216</f>
        <v>Col. Rancho el Colorado</v>
      </c>
      <c r="J438" s="6" t="str">
        <f>'[1]V, inciso p) (OP)'!T216</f>
        <v>ELVIA ALEJANDRA</v>
      </c>
      <c r="K438" s="6" t="str">
        <f>'[1]V, inciso p) (OP)'!U216</f>
        <v>TORRES</v>
      </c>
      <c r="L438" s="6" t="str">
        <f>'[1]V, inciso p) (OP)'!V216</f>
        <v>VILLA</v>
      </c>
      <c r="M438" s="6" t="s">
        <v>3181</v>
      </c>
      <c r="N438" s="6" t="str">
        <f>'[1]V, inciso p) (OP)'!X216</f>
        <v>PRO0205208F2</v>
      </c>
      <c r="O438" s="11">
        <f t="shared" si="10"/>
        <v>4300702.76</v>
      </c>
      <c r="P438" s="11">
        <f>O438</f>
        <v>4300702.76</v>
      </c>
      <c r="Q438" s="14" t="s">
        <v>913</v>
      </c>
      <c r="R438" s="15">
        <f>O438/789</f>
        <v>5450.8273257287701</v>
      </c>
      <c r="S438" s="7" t="s">
        <v>41</v>
      </c>
      <c r="T438" s="12">
        <v>698</v>
      </c>
      <c r="U438" s="13" t="s">
        <v>42</v>
      </c>
      <c r="V438" s="7" t="s">
        <v>373</v>
      </c>
      <c r="W438" s="10">
        <f>'[1]V, inciso p) (OP)'!AM216</f>
        <v>42975</v>
      </c>
      <c r="X438" s="10">
        <f>'[1]V, inciso p) (OP)'!AN216</f>
        <v>43079</v>
      </c>
      <c r="Y438" s="7" t="s">
        <v>903</v>
      </c>
      <c r="Z438" s="7" t="s">
        <v>904</v>
      </c>
      <c r="AA438" s="7" t="s">
        <v>94</v>
      </c>
      <c r="AB438" s="21" t="s">
        <v>2671</v>
      </c>
      <c r="AC438" s="6" t="s">
        <v>2438</v>
      </c>
      <c r="AD438" s="6"/>
    </row>
    <row r="439" spans="1:30" ht="69.95" customHeight="1">
      <c r="A439" s="34">
        <v>160</v>
      </c>
      <c r="B439" s="7">
        <v>2017</v>
      </c>
      <c r="C439" s="6" t="str">
        <f>'[1]V, inciso p) (OP)'!B217</f>
        <v>Licitación por Invitación Restringida</v>
      </c>
      <c r="D439" s="6" t="str">
        <f>'[1]V, inciso p) (OP)'!D217</f>
        <v>DOPI-MUN-R33R-DS-CI-160-2017</v>
      </c>
      <c r="E439" s="10">
        <f>'[1]V, inciso p) (OP)'!AD217</f>
        <v>42975</v>
      </c>
      <c r="F439" s="6" t="str">
        <f>'[1]V, inciso p) (OP)'!AL217</f>
        <v>Construcción de Red de drenaje sanitario y línea de alejamiento en calles de la Colonia Rancho El Colorado, municipio de Zapopan, Jalisco. Frente 2.</v>
      </c>
      <c r="G439" s="6" t="s">
        <v>3326</v>
      </c>
      <c r="H439" s="25">
        <v>4367052.4800000004</v>
      </c>
      <c r="I439" s="6" t="str">
        <f>'[1]V, inciso p) (OP)'!AS217</f>
        <v>Col. Rancho el Colorado</v>
      </c>
      <c r="J439" s="6" t="str">
        <f>'[1]V, inciso p) (OP)'!T217</f>
        <v>MARÍA ARCELIA</v>
      </c>
      <c r="K439" s="6" t="str">
        <f>'[1]V, inciso p) (OP)'!U217</f>
        <v>IÑIGUEZ</v>
      </c>
      <c r="L439" s="6" t="str">
        <f>'[1]V, inciso p) (OP)'!V217</f>
        <v>HERNÁNDEZ</v>
      </c>
      <c r="M439" s="6" t="s">
        <v>3182</v>
      </c>
      <c r="N439" s="6" t="str">
        <f>'[1]V, inciso p) (OP)'!X217</f>
        <v>COP1209104M8</v>
      </c>
      <c r="O439" s="11">
        <f t="shared" si="10"/>
        <v>4367052.4800000004</v>
      </c>
      <c r="P439" s="11">
        <v>4367052.4800000004</v>
      </c>
      <c r="Q439" s="14" t="s">
        <v>914</v>
      </c>
      <c r="R439" s="15">
        <f>O439/760</f>
        <v>5746.1216842105268</v>
      </c>
      <c r="S439" s="7" t="s">
        <v>41</v>
      </c>
      <c r="T439" s="12">
        <v>698</v>
      </c>
      <c r="U439" s="13" t="s">
        <v>42</v>
      </c>
      <c r="V439" s="7" t="s">
        <v>373</v>
      </c>
      <c r="W439" s="10">
        <f>'[1]V, inciso p) (OP)'!AM217</f>
        <v>42975</v>
      </c>
      <c r="X439" s="10">
        <f>'[1]V, inciso p) (OP)'!AN217</f>
        <v>43079</v>
      </c>
      <c r="Y439" s="7" t="s">
        <v>903</v>
      </c>
      <c r="Z439" s="7" t="s">
        <v>904</v>
      </c>
      <c r="AA439" s="7" t="s">
        <v>94</v>
      </c>
      <c r="AB439" s="21" t="s">
        <v>2672</v>
      </c>
      <c r="AC439" s="6" t="s">
        <v>2438</v>
      </c>
      <c r="AD439" s="6"/>
    </row>
    <row r="440" spans="1:30" ht="69.95" customHeight="1">
      <c r="A440" s="34">
        <v>161</v>
      </c>
      <c r="B440" s="7">
        <v>2017</v>
      </c>
      <c r="C440" s="6" t="str">
        <f>'[1]V, inciso p) (OP)'!B218</f>
        <v>Licitación por Invitación Restringida</v>
      </c>
      <c r="D440" s="6" t="str">
        <f>'[1]V, inciso p) (OP)'!D218</f>
        <v>DOPI-MUN-R33R-DP-CI-161-2017</v>
      </c>
      <c r="E440" s="10">
        <f>'[1]V, inciso p) (OP)'!AD218</f>
        <v>42985</v>
      </c>
      <c r="F440" s="6" t="str">
        <f>'[1]V, inciso p) (OP)'!AL218</f>
        <v xml:space="preserve">Construcción de drenaje pluvial en la calle Santa Mercedez de Av. Tesistán a Av. Jesús, colonia Tuzania Ejidal, municipio de Zapopan, Jalisco. </v>
      </c>
      <c r="G440" s="6" t="s">
        <v>3326</v>
      </c>
      <c r="H440" s="25">
        <v>3237831.14</v>
      </c>
      <c r="I440" s="6" t="str">
        <f>'[1]V, inciso p) (OP)'!AS218</f>
        <v>Colonia Tuzania Ejidal</v>
      </c>
      <c r="J440" s="6" t="str">
        <f>'[1]V, inciso p) (OP)'!T218</f>
        <v>JAVIER</v>
      </c>
      <c r="K440" s="6" t="str">
        <f>'[1]V, inciso p) (OP)'!U218</f>
        <v xml:space="preserve">ÁVILA </v>
      </c>
      <c r="L440" s="6" t="str">
        <f>'[1]V, inciso p) (OP)'!V218</f>
        <v>FLORES</v>
      </c>
      <c r="M440" s="6" t="s">
        <v>2100</v>
      </c>
      <c r="N440" s="6" t="str">
        <f>'[1]V, inciso p) (OP)'!X218</f>
        <v>SCC060622HZ3</v>
      </c>
      <c r="O440" s="11">
        <f t="shared" si="10"/>
        <v>3237831.14</v>
      </c>
      <c r="P440" s="11">
        <v>3021584.0199999996</v>
      </c>
      <c r="Q440" s="14" t="s">
        <v>915</v>
      </c>
      <c r="R440" s="15">
        <f>O440/282</f>
        <v>11481.670709219859</v>
      </c>
      <c r="S440" s="7" t="s">
        <v>41</v>
      </c>
      <c r="T440" s="12">
        <v>963</v>
      </c>
      <c r="U440" s="13" t="s">
        <v>42</v>
      </c>
      <c r="V440" s="7" t="s">
        <v>43</v>
      </c>
      <c r="W440" s="10">
        <f>'[1]V, inciso p) (OP)'!AM218</f>
        <v>42986</v>
      </c>
      <c r="X440" s="10">
        <f>'[1]V, inciso p) (OP)'!AN218</f>
        <v>43083</v>
      </c>
      <c r="Y440" s="7" t="s">
        <v>360</v>
      </c>
      <c r="Z440" s="7" t="s">
        <v>361</v>
      </c>
      <c r="AA440" s="7" t="s">
        <v>362</v>
      </c>
      <c r="AB440" s="21" t="s">
        <v>2673</v>
      </c>
      <c r="AC440" s="6" t="s">
        <v>2438</v>
      </c>
      <c r="AD440" s="6"/>
    </row>
    <row r="441" spans="1:30" ht="69.95" customHeight="1">
      <c r="A441" s="34">
        <v>162</v>
      </c>
      <c r="B441" s="7">
        <v>2017</v>
      </c>
      <c r="C441" s="6" t="str">
        <f>'[1]V, inciso p) (OP)'!B219</f>
        <v>Licitación por Invitación Restringida</v>
      </c>
      <c r="D441" s="6" t="str">
        <f>'[1]V, inciso p) (OP)'!D219</f>
        <v>DOPI-MUN-R33R-IH-CI-162-2017</v>
      </c>
      <c r="E441" s="10">
        <f>'[1]V, inciso p) (OP)'!AD219</f>
        <v>42985</v>
      </c>
      <c r="F441" s="6" t="str">
        <f>'[1]V, inciso p) (OP)'!AL219</f>
        <v>Construcción de línea de conducción y rehabilitación de tanques en las colonias San Isidro y San Esteban, municipio de Zapopan, Jalisco.</v>
      </c>
      <c r="G441" s="6" t="s">
        <v>3326</v>
      </c>
      <c r="H441" s="25">
        <v>2278926.08</v>
      </c>
      <c r="I441" s="6" t="str">
        <f>'[1]V, inciso p) (OP)'!AS219</f>
        <v>Colonias San Isidro y San Esteban</v>
      </c>
      <c r="J441" s="6" t="str">
        <f>'[1]V, inciso p) (OP)'!T219</f>
        <v>JAVIER</v>
      </c>
      <c r="K441" s="6" t="str">
        <f>'[1]V, inciso p) (OP)'!U219</f>
        <v>CHACON</v>
      </c>
      <c r="L441" s="6" t="str">
        <f>'[1]V, inciso p) (OP)'!V219</f>
        <v>BENAVIDES</v>
      </c>
      <c r="M441" s="6" t="s">
        <v>3183</v>
      </c>
      <c r="N441" s="6" t="str">
        <f>'[1]V, inciso p) (OP)'!X219</f>
        <v>CCO9407296S3</v>
      </c>
      <c r="O441" s="11">
        <f t="shared" si="10"/>
        <v>2278926.08</v>
      </c>
      <c r="P441" s="11">
        <v>2278926.0900000003</v>
      </c>
      <c r="Q441" s="14" t="s">
        <v>916</v>
      </c>
      <c r="R441" s="15">
        <f>O441/1475</f>
        <v>1545.0346305084747</v>
      </c>
      <c r="S441" s="7" t="s">
        <v>41</v>
      </c>
      <c r="T441" s="12">
        <v>169</v>
      </c>
      <c r="U441" s="13" t="s">
        <v>42</v>
      </c>
      <c r="V441" s="43" t="s">
        <v>43</v>
      </c>
      <c r="W441" s="10">
        <f>'[1]V, inciso p) (OP)'!AM219</f>
        <v>42986</v>
      </c>
      <c r="X441" s="10">
        <f>'[1]V, inciso p) (OP)'!AN219</f>
        <v>43075</v>
      </c>
      <c r="Y441" s="7" t="s">
        <v>753</v>
      </c>
      <c r="Z441" s="7" t="s">
        <v>827</v>
      </c>
      <c r="AA441" s="7" t="s">
        <v>755</v>
      </c>
      <c r="AB441" s="21" t="s">
        <v>2674</v>
      </c>
      <c r="AC441" s="6" t="s">
        <v>2438</v>
      </c>
      <c r="AD441" s="6"/>
    </row>
    <row r="442" spans="1:30" ht="69.95" customHeight="1">
      <c r="A442" s="34">
        <v>163</v>
      </c>
      <c r="B442" s="7">
        <v>2017</v>
      </c>
      <c r="C442" s="7" t="s">
        <v>62</v>
      </c>
      <c r="D442" s="6" t="str">
        <f>'[1]V, inciso o) (OP)'!C232</f>
        <v>DOPI-MUN-R33-IH-AD-163-2017</v>
      </c>
      <c r="E442" s="10">
        <f>'[1]V, inciso o) (OP)'!V232</f>
        <v>42950</v>
      </c>
      <c r="F442" s="6" t="str">
        <f>'[1]V, inciso o) (OP)'!AA232</f>
        <v>Revestimiento de canal pluvial y obras de drenaje, sobre calle Pinos de calle Periodistas a calle Fresno, en la colonia Lomas del Centinela, municipio de Zapopan, Jalisco. Primera etapa.</v>
      </c>
      <c r="G442" s="6" t="s">
        <v>3325</v>
      </c>
      <c r="H442" s="25">
        <v>1569323.53</v>
      </c>
      <c r="I442" s="6" t="s">
        <v>917</v>
      </c>
      <c r="J442" s="6" t="str">
        <f>'[1]V, inciso o) (OP)'!M232</f>
        <v>JOSÉ JAIME</v>
      </c>
      <c r="K442" s="7" t="str">
        <f>'[1]V, inciso o) (OP)'!N232</f>
        <v>CAMARENA</v>
      </c>
      <c r="L442" s="7" t="str">
        <f>'[1]V, inciso o) (OP)'!O232</f>
        <v>CORREA</v>
      </c>
      <c r="M442" s="6" t="s">
        <v>3184</v>
      </c>
      <c r="N442" s="7" t="str">
        <f>'[1]V, inciso o) (OP)'!Q232</f>
        <v>FCO110711N24</v>
      </c>
      <c r="O442" s="11">
        <f t="shared" si="10"/>
        <v>1569323.53</v>
      </c>
      <c r="P442" s="11">
        <v>1561756.9500000002</v>
      </c>
      <c r="Q442" s="7" t="s">
        <v>918</v>
      </c>
      <c r="R442" s="11">
        <f>O442/740</f>
        <v>2120.7074729729729</v>
      </c>
      <c r="S442" s="7" t="s">
        <v>41</v>
      </c>
      <c r="T442" s="12">
        <v>459</v>
      </c>
      <c r="U442" s="13" t="s">
        <v>42</v>
      </c>
      <c r="V442" s="7" t="s">
        <v>43</v>
      </c>
      <c r="W442" s="10">
        <f>'[1]V, inciso o) (OP)'!AD232</f>
        <v>42954</v>
      </c>
      <c r="X442" s="10">
        <f>'[1]V, inciso o) (OP)'!AE232</f>
        <v>43016</v>
      </c>
      <c r="Y442" s="7" t="s">
        <v>808</v>
      </c>
      <c r="Z442" s="7" t="s">
        <v>809</v>
      </c>
      <c r="AA442" s="7" t="s">
        <v>94</v>
      </c>
      <c r="AB442" s="21" t="s">
        <v>2675</v>
      </c>
      <c r="AC442" s="6" t="s">
        <v>2438</v>
      </c>
      <c r="AD442" s="6"/>
    </row>
    <row r="443" spans="1:30" ht="69.95" customHeight="1">
      <c r="A443" s="34">
        <v>164</v>
      </c>
      <c r="B443" s="7">
        <v>2017</v>
      </c>
      <c r="C443" s="6" t="str">
        <f>'[1]V, inciso p) (OP)'!B220</f>
        <v>Licitación Pública</v>
      </c>
      <c r="D443" s="6" t="str">
        <f>'[1]V, inciso p) (OP)'!D220</f>
        <v>DOPI-EST-FOCOCI-IU-LP-164-2017</v>
      </c>
      <c r="E443" s="10">
        <f>'[1]V, inciso p) (OP)'!AD220</f>
        <v>43014</v>
      </c>
      <c r="F443" s="6" t="str">
        <f>'[1]V, inciso p) (OP)'!AL220</f>
        <v>Rehabilitación del Parque Unidad de Manejo Ambiental Villa Fantasía, en la colonia Tepeyac, frente 1, (ingreso, cafetería, área lúdica pedagógica y áreas exteriores), en el municipio de Zapopan, Jalisco.</v>
      </c>
      <c r="G443" s="6" t="s">
        <v>3328</v>
      </c>
      <c r="H443" s="25">
        <v>13203258.699999999</v>
      </c>
      <c r="I443" s="6" t="str">
        <f>'[1]V, inciso p) (OP)'!AS220</f>
        <v>Colonia Tepeyac</v>
      </c>
      <c r="J443" s="6" t="str">
        <f>'[1]V, inciso p) (OP)'!T220</f>
        <v>ERNESTO</v>
      </c>
      <c r="K443" s="6" t="str">
        <f>'[1]V, inciso p) (OP)'!U220</f>
        <v>OLIVARES</v>
      </c>
      <c r="L443" s="6" t="str">
        <f>'[1]V, inciso p) (OP)'!V220</f>
        <v>ÁLVAREZ</v>
      </c>
      <c r="M443" s="6" t="s">
        <v>2205</v>
      </c>
      <c r="N443" s="6" t="str">
        <f>'[1]V, inciso p) (OP)'!X220</f>
        <v>SMJ090317FS9</v>
      </c>
      <c r="O443" s="11">
        <f t="shared" si="10"/>
        <v>13203258.699999999</v>
      </c>
      <c r="P443" s="11">
        <v>13203258.680000002</v>
      </c>
      <c r="Q443" s="14" t="s">
        <v>919</v>
      </c>
      <c r="R443" s="15">
        <f>O443/5692</f>
        <v>2319.6167779339421</v>
      </c>
      <c r="S443" s="7" t="s">
        <v>41</v>
      </c>
      <c r="T443" s="12">
        <v>1332272</v>
      </c>
      <c r="U443" s="13" t="s">
        <v>42</v>
      </c>
      <c r="V443" s="7" t="s">
        <v>43</v>
      </c>
      <c r="W443" s="10">
        <f>'[1]V, inciso p) (OP)'!AM220</f>
        <v>43014</v>
      </c>
      <c r="X443" s="10">
        <f>'[1]V, inciso p) (OP)'!AN220</f>
        <v>43100</v>
      </c>
      <c r="Y443" s="7" t="s">
        <v>838</v>
      </c>
      <c r="Z443" s="7" t="s">
        <v>447</v>
      </c>
      <c r="AA443" s="7" t="s">
        <v>448</v>
      </c>
      <c r="AB443" s="21" t="s">
        <v>2676</v>
      </c>
      <c r="AC443" s="6" t="s">
        <v>2438</v>
      </c>
      <c r="AD443" s="7"/>
    </row>
    <row r="444" spans="1:30" ht="69.95" customHeight="1">
      <c r="A444" s="34">
        <v>165</v>
      </c>
      <c r="B444" s="7">
        <v>2017</v>
      </c>
      <c r="C444" s="6" t="str">
        <f>'[1]V, inciso p) (OP)'!B221</f>
        <v>Licitación Pública</v>
      </c>
      <c r="D444" s="6" t="str">
        <f>'[1]V, inciso p) (OP)'!D221</f>
        <v>DOPI-EST-FOCOCI-IU-LP-165-2017</v>
      </c>
      <c r="E444" s="10">
        <f>'[1]V, inciso p) (OP)'!AD221</f>
        <v>43014</v>
      </c>
      <c r="F444" s="6" t="str">
        <f>'[1]V, inciso p) (OP)'!AL221</f>
        <v>Rehabilitación del Parque Unidad de Manejo Ambiental Villa Fantasía, en la colonia Tepeyac, frente 2, (clínica, edificio administrativo y módulo de baños), en el municipio de Zapopan, Jalisco.</v>
      </c>
      <c r="G444" s="6" t="s">
        <v>3328</v>
      </c>
      <c r="H444" s="25">
        <v>7332126.9800000004</v>
      </c>
      <c r="I444" s="6" t="str">
        <f>'[1]V, inciso p) (OP)'!AS221</f>
        <v>Colonia Tepeyac</v>
      </c>
      <c r="J444" s="6" t="str">
        <f>'[1]V, inciso p) (OP)'!T221</f>
        <v>IGNACIO JAVIER</v>
      </c>
      <c r="K444" s="6" t="str">
        <f>'[1]V, inciso p) (OP)'!U221</f>
        <v>CURIEL</v>
      </c>
      <c r="L444" s="6" t="str">
        <f>'[1]V, inciso p) (OP)'!V221</f>
        <v>DUEÑAS</v>
      </c>
      <c r="M444" s="6" t="s">
        <v>3161</v>
      </c>
      <c r="N444" s="6" t="str">
        <f>'[1]V, inciso p) (OP)'!X221</f>
        <v>TCM100915HA1</v>
      </c>
      <c r="O444" s="11">
        <f t="shared" si="10"/>
        <v>7332126.9800000004</v>
      </c>
      <c r="P444" s="11">
        <v>7332126.9800000004</v>
      </c>
      <c r="Q444" s="14" t="s">
        <v>920</v>
      </c>
      <c r="R444" s="15">
        <f>O444/568</f>
        <v>12908.674260563381</v>
      </c>
      <c r="S444" s="7" t="s">
        <v>41</v>
      </c>
      <c r="T444" s="12">
        <v>1332272</v>
      </c>
      <c r="U444" s="13" t="s">
        <v>42</v>
      </c>
      <c r="V444" s="7" t="s">
        <v>43</v>
      </c>
      <c r="W444" s="10">
        <f>'[1]V, inciso p) (OP)'!AM221</f>
        <v>43014</v>
      </c>
      <c r="X444" s="10">
        <f>'[1]V, inciso p) (OP)'!AN221</f>
        <v>43100</v>
      </c>
      <c r="Y444" s="7" t="s">
        <v>838</v>
      </c>
      <c r="Z444" s="7" t="s">
        <v>447</v>
      </c>
      <c r="AA444" s="7" t="s">
        <v>448</v>
      </c>
      <c r="AB444" s="21" t="s">
        <v>2677</v>
      </c>
      <c r="AC444" s="6" t="s">
        <v>2438</v>
      </c>
      <c r="AD444" s="7"/>
    </row>
    <row r="445" spans="1:30" ht="69.95" customHeight="1">
      <c r="A445" s="34">
        <v>166</v>
      </c>
      <c r="B445" s="7">
        <v>2017</v>
      </c>
      <c r="C445" s="6" t="str">
        <f>'[1]V, inciso p) (OP)'!B222</f>
        <v>Licitación Pública</v>
      </c>
      <c r="D445" s="6" t="str">
        <f>'[1]V, inciso p) (OP)'!D222</f>
        <v>DOPI-EST-FOCOCI-IU-LP-166-2017</v>
      </c>
      <c r="E445" s="10">
        <f>'[1]V, inciso p) (OP)'!AD222</f>
        <v>43014</v>
      </c>
      <c r="F445" s="6" t="str">
        <f>'[1]V, inciso p) (OP)'!AL222</f>
        <v>Rehabilitación del Parque Unidad de Manejo Ambiental Villa Fantasía, en la colonia Tepeyac, frente 3, (hábitats zona 1), en el municipio de Zapopan, Jalisco.</v>
      </c>
      <c r="G445" s="6" t="s">
        <v>3328</v>
      </c>
      <c r="H445" s="25">
        <v>5976486.5099999998</v>
      </c>
      <c r="I445" s="6" t="str">
        <f>'[1]V, inciso p) (OP)'!AS222</f>
        <v>Colonia Tepeyac</v>
      </c>
      <c r="J445" s="6" t="str">
        <f>'[1]V, inciso p) (OP)'!T222</f>
        <v>ERICK</v>
      </c>
      <c r="K445" s="6" t="str">
        <f>'[1]V, inciso p) (OP)'!U222</f>
        <v>VILLASEÑOR</v>
      </c>
      <c r="L445" s="6" t="str">
        <f>'[1]V, inciso p) (OP)'!V222</f>
        <v>GUTIÉRREZ</v>
      </c>
      <c r="M445" s="6" t="s">
        <v>1843</v>
      </c>
      <c r="N445" s="6" t="str">
        <f>'[1]V, inciso p) (OP)'!X222</f>
        <v>PCO140829425</v>
      </c>
      <c r="O445" s="11">
        <f t="shared" si="10"/>
        <v>5976486.5099999998</v>
      </c>
      <c r="P445" s="11">
        <v>5976486.5100000007</v>
      </c>
      <c r="Q445" s="14" t="s">
        <v>921</v>
      </c>
      <c r="R445" s="15">
        <f>O445/16</f>
        <v>373530.40687499999</v>
      </c>
      <c r="S445" s="7" t="s">
        <v>41</v>
      </c>
      <c r="T445" s="12">
        <v>1332272</v>
      </c>
      <c r="U445" s="13" t="s">
        <v>42</v>
      </c>
      <c r="V445" s="7" t="s">
        <v>43</v>
      </c>
      <c r="W445" s="10">
        <f>'[1]V, inciso p) (OP)'!AM222</f>
        <v>43014</v>
      </c>
      <c r="X445" s="10">
        <f>'[1]V, inciso p) (OP)'!AN222</f>
        <v>43100</v>
      </c>
      <c r="Y445" s="7" t="s">
        <v>838</v>
      </c>
      <c r="Z445" s="7" t="s">
        <v>447</v>
      </c>
      <c r="AA445" s="7" t="s">
        <v>448</v>
      </c>
      <c r="AB445" s="21" t="s">
        <v>2678</v>
      </c>
      <c r="AC445" s="6" t="s">
        <v>2438</v>
      </c>
      <c r="AD445" s="7"/>
    </row>
    <row r="446" spans="1:30" ht="69.95" customHeight="1">
      <c r="A446" s="34">
        <v>167</v>
      </c>
      <c r="B446" s="7">
        <v>2017</v>
      </c>
      <c r="C446" s="6" t="str">
        <f>'[1]V, inciso p) (OP)'!B223</f>
        <v>Licitación Pública</v>
      </c>
      <c r="D446" s="6" t="str">
        <f>'[1]V, inciso p) (OP)'!D223</f>
        <v>DOPI-EST-FOCOCI-IU-LP-167-2017</v>
      </c>
      <c r="E446" s="10">
        <f>'[1]V, inciso p) (OP)'!AD223</f>
        <v>43014</v>
      </c>
      <c r="F446" s="6" t="str">
        <f>'[1]V, inciso p) (OP)'!AL223</f>
        <v>Rehabilitación del Parque Unidad de Manejo Ambiental Villa Fantasía, en la colonia Tepeyac, frente 4, (hábitats zona 2), en el municipio de Zapopan, Jalisco.</v>
      </c>
      <c r="G446" s="6" t="s">
        <v>3328</v>
      </c>
      <c r="H446" s="25">
        <v>5139138.4800000004</v>
      </c>
      <c r="I446" s="6" t="str">
        <f>'[1]V, inciso p) (OP)'!AS223</f>
        <v>Colonia Tepeyac</v>
      </c>
      <c r="J446" s="6" t="str">
        <f>'[1]V, inciso p) (OP)'!T223</f>
        <v>CARLOS IGNACIO</v>
      </c>
      <c r="K446" s="6" t="str">
        <f>'[1]V, inciso p) (OP)'!U223</f>
        <v>CURIEL</v>
      </c>
      <c r="L446" s="6" t="str">
        <f>'[1]V, inciso p) (OP)'!V223</f>
        <v>DUEÑAS</v>
      </c>
      <c r="M446" s="6" t="s">
        <v>1987</v>
      </c>
      <c r="N446" s="6" t="str">
        <f>'[1]V, inciso p) (OP)'!X223</f>
        <v>CCE130723IR7</v>
      </c>
      <c r="O446" s="11">
        <f t="shared" si="10"/>
        <v>5139138.4800000004</v>
      </c>
      <c r="P446" s="11">
        <v>5139138.4800000004</v>
      </c>
      <c r="Q446" s="14" t="s">
        <v>922</v>
      </c>
      <c r="R446" s="15">
        <f>O446/6</f>
        <v>856523.08000000007</v>
      </c>
      <c r="S446" s="7" t="s">
        <v>41</v>
      </c>
      <c r="T446" s="12">
        <v>1332272</v>
      </c>
      <c r="U446" s="13" t="s">
        <v>42</v>
      </c>
      <c r="V446" s="43" t="s">
        <v>43</v>
      </c>
      <c r="W446" s="10">
        <f>'[1]V, inciso p) (OP)'!AM223</f>
        <v>43014</v>
      </c>
      <c r="X446" s="10">
        <f>'[1]V, inciso p) (OP)'!AN223</f>
        <v>43100</v>
      </c>
      <c r="Y446" s="7" t="s">
        <v>838</v>
      </c>
      <c r="Z446" s="7" t="s">
        <v>447</v>
      </c>
      <c r="AA446" s="7" t="s">
        <v>448</v>
      </c>
      <c r="AB446" s="21" t="s">
        <v>2679</v>
      </c>
      <c r="AC446" s="6" t="s">
        <v>2438</v>
      </c>
      <c r="AD446" s="6"/>
    </row>
    <row r="447" spans="1:30" ht="69.95" customHeight="1">
      <c r="A447" s="34">
        <v>168</v>
      </c>
      <c r="B447" s="7">
        <v>2017</v>
      </c>
      <c r="C447" s="6" t="str">
        <f>'[1]V, inciso p) (OP)'!B224</f>
        <v>Licitación Pública</v>
      </c>
      <c r="D447" s="6" t="str">
        <f>'[1]V, inciso p) (OP)'!D224</f>
        <v>DOPI-EST-CONVSCT-PAV-LP-168-2017</v>
      </c>
      <c r="E447" s="10">
        <f>'[1]V, inciso p) (OP)'!AD224</f>
        <v>43014</v>
      </c>
      <c r="F447" s="6" t="str">
        <f>'[1]V, inciso p) (OP)'!AL224</f>
        <v>Construcción, cimentación, apoyos y cabezales del retorno elevado en la carretera Guadalajara-Tepic km 11+650, municipio de Zapopan, Jalisco.</v>
      </c>
      <c r="G447" s="6" t="s">
        <v>3330</v>
      </c>
      <c r="H447" s="25">
        <v>16736200.74</v>
      </c>
      <c r="I447" s="6" t="str">
        <f>'[1]V, inciso p) (OP)'!AS224</f>
        <v>Colonia Rancho Contento</v>
      </c>
      <c r="J447" s="6" t="str">
        <f>'[1]V, inciso p) (OP)'!T224</f>
        <v>MIGUEL ÁNGEL</v>
      </c>
      <c r="K447" s="6" t="str">
        <f>'[1]V, inciso p) (OP)'!U224</f>
        <v>ROMERO</v>
      </c>
      <c r="L447" s="6" t="str">
        <f>'[1]V, inciso p) (OP)'!V224</f>
        <v>LUGO</v>
      </c>
      <c r="M447" s="6" t="s">
        <v>3179</v>
      </c>
      <c r="N447" s="6" t="str">
        <f>'[1]V, inciso p) (OP)'!X224</f>
        <v>OCC940714PB0</v>
      </c>
      <c r="O447" s="11">
        <f t="shared" si="10"/>
        <v>16736200.74</v>
      </c>
      <c r="P447" s="11">
        <v>16736200.75</v>
      </c>
      <c r="Q447" s="14" t="s">
        <v>499</v>
      </c>
      <c r="R447" s="15">
        <f>O447</f>
        <v>16736200.74</v>
      </c>
      <c r="S447" s="7" t="s">
        <v>41</v>
      </c>
      <c r="T447" s="12">
        <v>1332272</v>
      </c>
      <c r="U447" s="13" t="s">
        <v>42</v>
      </c>
      <c r="V447" s="43" t="s">
        <v>43</v>
      </c>
      <c r="W447" s="10">
        <f>'[1]V, inciso p) (OP)'!AM224</f>
        <v>43014</v>
      </c>
      <c r="X447" s="10">
        <f>'[1]V, inciso p) (OP)'!AN224</f>
        <v>43100</v>
      </c>
      <c r="Y447" s="7" t="s">
        <v>380</v>
      </c>
      <c r="Z447" s="7" t="s">
        <v>45</v>
      </c>
      <c r="AA447" s="7" t="s">
        <v>46</v>
      </c>
      <c r="AB447" s="21" t="s">
        <v>2680</v>
      </c>
      <c r="AC447" s="6" t="s">
        <v>2438</v>
      </c>
      <c r="AD447" s="6"/>
    </row>
    <row r="448" spans="1:30" ht="69.95" customHeight="1">
      <c r="A448" s="34">
        <v>169</v>
      </c>
      <c r="B448" s="7">
        <v>2017</v>
      </c>
      <c r="C448" s="6" t="str">
        <f>'[1]V, inciso p) (OP)'!B225</f>
        <v>Licitación Pública</v>
      </c>
      <c r="D448" s="6" t="str">
        <f>'[1]V, inciso p) (OP)'!D225</f>
        <v>DOPI-FED-FF-PAV-LP-169-2017</v>
      </c>
      <c r="E448" s="10">
        <f>'[1]V, inciso p) (OP)'!AD225</f>
        <v>43031</v>
      </c>
      <c r="F448" s="6" t="str">
        <f>'[1]V, inciso p) (OP)'!AL225</f>
        <v xml:space="preserve">Pavimentación de Av. Guadalajara con concreto hidráulico tramo 1, en la colonia Nuevo México, municipio de Zapopan, Jalisco. </v>
      </c>
      <c r="G448" s="6" t="s">
        <v>3331</v>
      </c>
      <c r="H448" s="25">
        <v>5404545</v>
      </c>
      <c r="I448" s="6" t="str">
        <f>'[1]V, inciso p) (OP)'!AS225</f>
        <v>Colonia Nuevo México</v>
      </c>
      <c r="J448" s="6" t="str">
        <f>'[1]V, inciso p) (OP)'!T225</f>
        <v>J. GERARDO</v>
      </c>
      <c r="K448" s="6" t="str">
        <f>'[1]V, inciso p) (OP)'!U225</f>
        <v>NICANOR</v>
      </c>
      <c r="L448" s="6" t="str">
        <f>'[1]V, inciso p) (OP)'!V225</f>
        <v>MEJIA MARISCAL</v>
      </c>
      <c r="M448" s="6" t="s">
        <v>1886</v>
      </c>
      <c r="N448" s="6" t="str">
        <f>'[1]V, inciso p) (OP)'!X225</f>
        <v>ICO980722MQ4</v>
      </c>
      <c r="O448" s="11">
        <f t="shared" si="10"/>
        <v>5404545</v>
      </c>
      <c r="P448" s="11">
        <v>5404545</v>
      </c>
      <c r="Q448" s="14" t="s">
        <v>923</v>
      </c>
      <c r="R448" s="15">
        <f>O448/2640</f>
        <v>2047.1761363636363</v>
      </c>
      <c r="S448" s="7" t="s">
        <v>41</v>
      </c>
      <c r="T448" s="12">
        <v>85263</v>
      </c>
      <c r="U448" s="13" t="s">
        <v>42</v>
      </c>
      <c r="V448" s="7" t="s">
        <v>43</v>
      </c>
      <c r="W448" s="10">
        <f>'[1]V, inciso p) (OP)'!AM225</f>
        <v>43031</v>
      </c>
      <c r="X448" s="10">
        <f>'[1]V, inciso p) (OP)'!AN225</f>
        <v>43106</v>
      </c>
      <c r="Y448" s="7" t="s">
        <v>924</v>
      </c>
      <c r="Z448" s="7" t="s">
        <v>715</v>
      </c>
      <c r="AA448" s="7" t="s">
        <v>925</v>
      </c>
      <c r="AB448" s="21" t="s">
        <v>2681</v>
      </c>
      <c r="AC448" s="6" t="s">
        <v>2438</v>
      </c>
      <c r="AD448" s="7"/>
    </row>
    <row r="449" spans="1:30" ht="69.95" customHeight="1">
      <c r="A449" s="34">
        <v>170</v>
      </c>
      <c r="B449" s="7">
        <v>2017</v>
      </c>
      <c r="C449" s="6" t="str">
        <f>'[1]V, inciso p) (OP)'!B226</f>
        <v>Licitación Pública</v>
      </c>
      <c r="D449" s="6" t="str">
        <f>'[1]V, inciso p) (OP)'!D226</f>
        <v>DOPI-FED-FF-PAV-LP-170-2017</v>
      </c>
      <c r="E449" s="10">
        <f>'[1]V, inciso p) (OP)'!AD226</f>
        <v>43031</v>
      </c>
      <c r="F449" s="6" t="str">
        <f>'[1]V, inciso p) (OP)'!AL226</f>
        <v xml:space="preserve">Pavimentación de Av. Guadalajara con concreto hidráulico tramo 2, en la colonia Nuevo México, municipio de Zapopan, Jalisco. </v>
      </c>
      <c r="G449" s="6" t="s">
        <v>3331</v>
      </c>
      <c r="H449" s="25">
        <v>4095455</v>
      </c>
      <c r="I449" s="6" t="str">
        <f>'[1]V, inciso p) (OP)'!AS226</f>
        <v>Colonia Nuevo México</v>
      </c>
      <c r="J449" s="6" t="str">
        <f>'[1]V, inciso p) (OP)'!T226</f>
        <v>RICARDO</v>
      </c>
      <c r="K449" s="6" t="str">
        <f>'[1]V, inciso p) (OP)'!U226</f>
        <v>TECANHUEY</v>
      </c>
      <c r="L449" s="6" t="str">
        <f>'[1]V, inciso p) (OP)'!V226</f>
        <v>LARIOS</v>
      </c>
      <c r="M449" s="6" t="s">
        <v>1715</v>
      </c>
      <c r="N449" s="6" t="str">
        <f>'[1]V, inciso p) (OP)'!X226</f>
        <v>MRE151124EK1</v>
      </c>
      <c r="O449" s="11">
        <f t="shared" si="10"/>
        <v>4095455</v>
      </c>
      <c r="P449" s="11">
        <v>4095454.5700000003</v>
      </c>
      <c r="Q449" s="14" t="s">
        <v>926</v>
      </c>
      <c r="R449" s="15">
        <f>O449/2013</f>
        <v>2034.5032290114257</v>
      </c>
      <c r="S449" s="7" t="s">
        <v>41</v>
      </c>
      <c r="T449" s="12">
        <v>85263</v>
      </c>
      <c r="U449" s="13" t="s">
        <v>42</v>
      </c>
      <c r="V449" s="43" t="s">
        <v>43</v>
      </c>
      <c r="W449" s="10">
        <f>'[1]V, inciso p) (OP)'!AM226</f>
        <v>43031</v>
      </c>
      <c r="X449" s="10">
        <f>'[1]V, inciso p) (OP)'!AN226</f>
        <v>43106</v>
      </c>
      <c r="Y449" s="7" t="s">
        <v>924</v>
      </c>
      <c r="Z449" s="7" t="s">
        <v>715</v>
      </c>
      <c r="AA449" s="7" t="s">
        <v>925</v>
      </c>
      <c r="AB449" s="21" t="s">
        <v>2682</v>
      </c>
      <c r="AC449" s="6" t="s">
        <v>2438</v>
      </c>
      <c r="AD449" s="6"/>
    </row>
    <row r="450" spans="1:30" ht="69.95" customHeight="1">
      <c r="A450" s="34">
        <v>171</v>
      </c>
      <c r="B450" s="7">
        <v>2017</v>
      </c>
      <c r="C450" s="6" t="str">
        <f>'[1]V, inciso p) (OP)'!B227</f>
        <v>Licitación Pública</v>
      </c>
      <c r="D450" s="6" t="str">
        <f>'[1]V, inciso p) (OP)'!D227</f>
        <v>DOPI-FED-FF-PAV-LP-171-2017</v>
      </c>
      <c r="E450" s="10">
        <f>'[1]V, inciso p) (OP)'!AD227</f>
        <v>43031</v>
      </c>
      <c r="F450" s="6" t="str">
        <f>'[1]V, inciso p) (OP)'!AL227</f>
        <v>Pavimentación de conexión vial Centro Cultural Constitución – Auditorio Telmex, con pavimento asfáltico, tramo 1 (Calz. Constituyentes – Calle Obreros de Cananea) en la colonia Constitución, municipio de Zapopan, Jalisco, frente 1.</v>
      </c>
      <c r="G450" s="6" t="s">
        <v>3331</v>
      </c>
      <c r="H450" s="25">
        <v>4900000</v>
      </c>
      <c r="I450" s="6" t="str">
        <f>'[1]V, inciso p) (OP)'!AS227</f>
        <v>Colonia Constitución</v>
      </c>
      <c r="J450" s="6" t="str">
        <f>'[1]V, inciso p) (OP)'!T227</f>
        <v>HAYDEE LILIANA</v>
      </c>
      <c r="K450" s="6" t="str">
        <f>'[1]V, inciso p) (OP)'!U227</f>
        <v>AGUILAR</v>
      </c>
      <c r="L450" s="6" t="str">
        <f>'[1]V, inciso p) (OP)'!V227</f>
        <v>CASSIAN</v>
      </c>
      <c r="M450" s="6" t="s">
        <v>1690</v>
      </c>
      <c r="N450" s="6" t="str">
        <f>'[1]V, inciso p) (OP)'!X227</f>
        <v>EDM970225I68</v>
      </c>
      <c r="O450" s="11">
        <f t="shared" si="10"/>
        <v>4900000</v>
      </c>
      <c r="P450" s="11">
        <v>4900000</v>
      </c>
      <c r="Q450" s="14" t="s">
        <v>927</v>
      </c>
      <c r="R450" s="15">
        <f>O450/3584</f>
        <v>1367.1875</v>
      </c>
      <c r="S450" s="7" t="s">
        <v>41</v>
      </c>
      <c r="T450" s="12">
        <v>98623</v>
      </c>
      <c r="U450" s="13" t="s">
        <v>42</v>
      </c>
      <c r="V450" s="43" t="s">
        <v>43</v>
      </c>
      <c r="W450" s="10">
        <f>'[1]V, inciso p) (OP)'!AM227</f>
        <v>43031</v>
      </c>
      <c r="X450" s="10">
        <f>'[1]V, inciso p) (OP)'!AN227</f>
        <v>43106</v>
      </c>
      <c r="Y450" s="7" t="s">
        <v>603</v>
      </c>
      <c r="Z450" s="7" t="s">
        <v>123</v>
      </c>
      <c r="AA450" s="7" t="s">
        <v>928</v>
      </c>
      <c r="AB450" s="21" t="s">
        <v>2683</v>
      </c>
      <c r="AC450" s="6" t="s">
        <v>2438</v>
      </c>
      <c r="AD450" s="6"/>
    </row>
    <row r="451" spans="1:30" ht="69.95" customHeight="1">
      <c r="A451" s="34">
        <v>172</v>
      </c>
      <c r="B451" s="7">
        <v>2017</v>
      </c>
      <c r="C451" s="6" t="str">
        <f>'[1]V, inciso p) (OP)'!B228</f>
        <v>Licitación Pública</v>
      </c>
      <c r="D451" s="6" t="str">
        <f>'[1]V, inciso p) (OP)'!D228</f>
        <v>DOPI-FED-FF-PAV-LP-172-2017</v>
      </c>
      <c r="E451" s="10">
        <f>'[1]V, inciso p) (OP)'!AD228</f>
        <v>43031</v>
      </c>
      <c r="F451" s="6" t="str">
        <f>'[1]V, inciso p) (OP)'!AL228</f>
        <v>Pavimentación de conexión vial Centro Cultural Constitución – Auditorio Telmex, con pavimento asfáltico, tramo 1 (Calz. Constituyentes – Calle Obreros de Cananea) en la colonia Constitución, municipio de Zapopan, Jalisco, frente 2.</v>
      </c>
      <c r="G451" s="6" t="s">
        <v>3331</v>
      </c>
      <c r="H451" s="25">
        <v>4900000</v>
      </c>
      <c r="I451" s="6" t="str">
        <f>'[1]V, inciso p) (OP)'!AS228</f>
        <v>Colonia Constitución</v>
      </c>
      <c r="J451" s="6" t="str">
        <f>'[1]V, inciso p) (OP)'!T228</f>
        <v>ALEX</v>
      </c>
      <c r="K451" s="6" t="str">
        <f>'[1]V, inciso p) (OP)'!U228</f>
        <v>MEDINA</v>
      </c>
      <c r="L451" s="6" t="str">
        <f>'[1]V, inciso p) (OP)'!V228</f>
        <v>GÓMEZ</v>
      </c>
      <c r="M451" s="6" t="s">
        <v>1709</v>
      </c>
      <c r="N451" s="6" t="str">
        <f>'[1]V, inciso p) (OP)'!X228</f>
        <v>MCO150527NY3</v>
      </c>
      <c r="O451" s="11">
        <f t="shared" si="10"/>
        <v>4900000</v>
      </c>
      <c r="P451" s="11">
        <v>4899999.99</v>
      </c>
      <c r="Q451" s="14" t="s">
        <v>929</v>
      </c>
      <c r="R451" s="15">
        <f>O451/3615</f>
        <v>1355.4633471645921</v>
      </c>
      <c r="S451" s="7" t="s">
        <v>41</v>
      </c>
      <c r="T451" s="12">
        <v>98623</v>
      </c>
      <c r="U451" s="13" t="s">
        <v>42</v>
      </c>
      <c r="V451" s="7" t="s">
        <v>43</v>
      </c>
      <c r="W451" s="10">
        <f>'[1]V, inciso p) (OP)'!AM228</f>
        <v>43031</v>
      </c>
      <c r="X451" s="10">
        <f>'[1]V, inciso p) (OP)'!AN228</f>
        <v>43106</v>
      </c>
      <c r="Y451" s="7" t="s">
        <v>603</v>
      </c>
      <c r="Z451" s="7" t="s">
        <v>123</v>
      </c>
      <c r="AA451" s="7" t="s">
        <v>928</v>
      </c>
      <c r="AB451" s="21" t="s">
        <v>2684</v>
      </c>
      <c r="AC451" s="6" t="s">
        <v>2438</v>
      </c>
      <c r="AD451" s="7"/>
    </row>
    <row r="452" spans="1:30" ht="69.95" customHeight="1">
      <c r="A452" s="34">
        <v>173</v>
      </c>
      <c r="B452" s="7">
        <v>2017</v>
      </c>
      <c r="C452" s="6" t="str">
        <f>'[1]V, inciso p) (OP)'!B229</f>
        <v>Licitación Pública</v>
      </c>
      <c r="D452" s="6" t="str">
        <f>'[1]V, inciso p) (OP)'!D229</f>
        <v>DOPI-FED-FF-PAV-LP-173-2017</v>
      </c>
      <c r="E452" s="10">
        <f>'[1]V, inciso p) (OP)'!AD229</f>
        <v>43031</v>
      </c>
      <c r="F452" s="6" t="str">
        <f>'[1]V, inciso p) (OP)'!AL229</f>
        <v>Pavimentación de conexión vial Centro Cultural Constitución – Auditorio Telmex, con pavimento asfáltico, tramo 2 (Calz. Constituyentes – Calle Obreros de Cananea) en la colonia Constitución, municipio de Zapopan, Jalisco, frente 1.</v>
      </c>
      <c r="G452" s="6" t="s">
        <v>3331</v>
      </c>
      <c r="H452" s="25">
        <v>4987550.67</v>
      </c>
      <c r="I452" s="6" t="str">
        <f>'[1]V, inciso p) (OP)'!AS229</f>
        <v>Colonia Constitución</v>
      </c>
      <c r="J452" s="6" t="str">
        <f>'[1]V, inciso p) (OP)'!T229</f>
        <v>VICTOR MANUEL</v>
      </c>
      <c r="K452" s="6" t="str">
        <f>'[1]V, inciso p) (OP)'!U229</f>
        <v>JAUREGUI</v>
      </c>
      <c r="L452" s="6" t="str">
        <f>'[1]V, inciso p) (OP)'!V229</f>
        <v>TORRES</v>
      </c>
      <c r="M452" s="6" t="s">
        <v>2004</v>
      </c>
      <c r="N452" s="6" t="str">
        <f>'[1]V, inciso p) (OP)'!X229</f>
        <v>CEA070208SB1</v>
      </c>
      <c r="O452" s="11">
        <f t="shared" si="10"/>
        <v>4987550.67</v>
      </c>
      <c r="P452" s="11">
        <v>4987548.6099999994</v>
      </c>
      <c r="Q452" s="14" t="s">
        <v>930</v>
      </c>
      <c r="R452" s="15">
        <f>O452/3475</f>
        <v>1435.266379856115</v>
      </c>
      <c r="S452" s="7" t="s">
        <v>41</v>
      </c>
      <c r="T452" s="12">
        <v>98623</v>
      </c>
      <c r="U452" s="13" t="s">
        <v>42</v>
      </c>
      <c r="V452" s="7" t="s">
        <v>43</v>
      </c>
      <c r="W452" s="10">
        <f>'[1]V, inciso p) (OP)'!AM229</f>
        <v>43031</v>
      </c>
      <c r="X452" s="10">
        <f>'[1]V, inciso p) (OP)'!AN229</f>
        <v>43106</v>
      </c>
      <c r="Y452" s="7" t="s">
        <v>603</v>
      </c>
      <c r="Z452" s="7" t="s">
        <v>123</v>
      </c>
      <c r="AA452" s="7" t="s">
        <v>928</v>
      </c>
      <c r="AB452" s="21" t="s">
        <v>2685</v>
      </c>
      <c r="AC452" s="6" t="s">
        <v>2438</v>
      </c>
      <c r="AD452" s="7"/>
    </row>
    <row r="453" spans="1:30" ht="69.95" customHeight="1">
      <c r="A453" s="34">
        <v>174</v>
      </c>
      <c r="B453" s="7">
        <v>2017</v>
      </c>
      <c r="C453" s="6" t="str">
        <f>'[1]V, inciso p) (OP)'!B230</f>
        <v>Licitación Pública</v>
      </c>
      <c r="D453" s="6" t="str">
        <f>'[1]V, inciso p) (OP)'!D230</f>
        <v>DOPI-FED-FF-PAV-LP-174-2017</v>
      </c>
      <c r="E453" s="10">
        <f>'[1]V, inciso p) (OP)'!AD230</f>
        <v>43031</v>
      </c>
      <c r="F453" s="6" t="str">
        <f>'[1]V, inciso p) (OP)'!AL230</f>
        <v>Pavimentación de conexión vial Centro Cultural Constitución – Auditorio Telmex, con pavimento asfáltico, tramo 2 (Calz. Constituyentes – Calle Obreros de Cananea) en la colonia Constitución, municipio de Zapopan, Jalisco, frente 2.</v>
      </c>
      <c r="G453" s="6" t="s">
        <v>3331</v>
      </c>
      <c r="H453" s="25">
        <v>4950000</v>
      </c>
      <c r="I453" s="6" t="str">
        <f>'[1]V, inciso p) (OP)'!AS230</f>
        <v>Colonia Constitución</v>
      </c>
      <c r="J453" s="6" t="str">
        <f>'[1]V, inciso p) (OP)'!T230</f>
        <v>CARLOS IGNACIO</v>
      </c>
      <c r="K453" s="6" t="str">
        <f>'[1]V, inciso p) (OP)'!U230</f>
        <v>CURIEL</v>
      </c>
      <c r="L453" s="6" t="str">
        <f>'[1]V, inciso p) (OP)'!V230</f>
        <v>DUEÑAS</v>
      </c>
      <c r="M453" s="6" t="s">
        <v>1987</v>
      </c>
      <c r="N453" s="6" t="str">
        <f>'[1]V, inciso p) (OP)'!X230</f>
        <v>CCE130723IR7</v>
      </c>
      <c r="O453" s="11">
        <f t="shared" si="10"/>
        <v>4950000</v>
      </c>
      <c r="P453" s="11">
        <v>4950000</v>
      </c>
      <c r="Q453" s="14" t="s">
        <v>931</v>
      </c>
      <c r="R453" s="15">
        <f>O453/3454</f>
        <v>1433.1210191082803</v>
      </c>
      <c r="S453" s="7" t="s">
        <v>41</v>
      </c>
      <c r="T453" s="12">
        <v>98623</v>
      </c>
      <c r="U453" s="13" t="s">
        <v>42</v>
      </c>
      <c r="V453" s="43" t="s">
        <v>43</v>
      </c>
      <c r="W453" s="10">
        <f>'[1]V, inciso p) (OP)'!AM230</f>
        <v>43031</v>
      </c>
      <c r="X453" s="10">
        <f>'[1]V, inciso p) (OP)'!AN230</f>
        <v>43106</v>
      </c>
      <c r="Y453" s="7" t="s">
        <v>603</v>
      </c>
      <c r="Z453" s="7" t="s">
        <v>123</v>
      </c>
      <c r="AA453" s="7" t="s">
        <v>928</v>
      </c>
      <c r="AB453" s="21" t="s">
        <v>2686</v>
      </c>
      <c r="AC453" s="6" t="s">
        <v>2438</v>
      </c>
      <c r="AD453" s="6"/>
    </row>
    <row r="454" spans="1:30" ht="69.95" customHeight="1">
      <c r="A454" s="34">
        <v>175</v>
      </c>
      <c r="B454" s="7">
        <v>2017</v>
      </c>
      <c r="C454" s="6" t="str">
        <f>'[1]V, inciso p) (OP)'!B231</f>
        <v>Licitación Pública</v>
      </c>
      <c r="D454" s="6" t="str">
        <f>'[1]V, inciso p) (OP)'!D231</f>
        <v>DOPI-FED-FF-PAV-LP-175-2017</v>
      </c>
      <c r="E454" s="10">
        <f>'[1]V, inciso p) (OP)'!AD231</f>
        <v>43031</v>
      </c>
      <c r="F454" s="6" t="str">
        <f>'[1]V, inciso p) (OP)'!AL231</f>
        <v>Pavimentación con concreto hidráulico de la Av. Royal Country, segunda etapa, en los fraccionamientos Royal Country, Puerta de Hierro y Puerta Plata, municipio de Zapopan, Jalisco, frente 1.</v>
      </c>
      <c r="G454" s="6" t="s">
        <v>3331</v>
      </c>
      <c r="H454" s="25">
        <v>4650000</v>
      </c>
      <c r="I454" s="6" t="str">
        <f>'[1]V, inciso p) (OP)'!AS231</f>
        <v>Colonia Puerta Plata</v>
      </c>
      <c r="J454" s="6" t="str">
        <f>'[1]V, inciso p) (OP)'!T231</f>
        <v>JULIO EDUARDO</v>
      </c>
      <c r="K454" s="6" t="str">
        <f>'[1]V, inciso p) (OP)'!U231</f>
        <v>LÓPEZ</v>
      </c>
      <c r="L454" s="6" t="str">
        <f>'[1]V, inciso p) (OP)'!V231</f>
        <v>PÉREZ</v>
      </c>
      <c r="M454" s="6" t="s">
        <v>2204</v>
      </c>
      <c r="N454" s="6" t="str">
        <f>'[1]V, inciso p) (OP)'!X231</f>
        <v>PEI020208RW0</v>
      </c>
      <c r="O454" s="11">
        <f t="shared" si="10"/>
        <v>4650000</v>
      </c>
      <c r="P454" s="11">
        <v>4650000</v>
      </c>
      <c r="Q454" s="14" t="s">
        <v>932</v>
      </c>
      <c r="R454" s="15">
        <f>O454/2933</f>
        <v>1585.4074326628026</v>
      </c>
      <c r="S454" s="7" t="s">
        <v>41</v>
      </c>
      <c r="T454" s="12">
        <v>122615</v>
      </c>
      <c r="U454" s="13" t="s">
        <v>42</v>
      </c>
      <c r="V454" s="7" t="s">
        <v>43</v>
      </c>
      <c r="W454" s="10">
        <f>'[1]V, inciso p) (OP)'!AM231</f>
        <v>43031</v>
      </c>
      <c r="X454" s="10">
        <f>'[1]V, inciso p) (OP)'!AN231</f>
        <v>43106</v>
      </c>
      <c r="Y454" s="7" t="s">
        <v>317</v>
      </c>
      <c r="Z454" s="7" t="s">
        <v>191</v>
      </c>
      <c r="AA454" s="7" t="s">
        <v>192</v>
      </c>
      <c r="AB454" s="21" t="s">
        <v>2687</v>
      </c>
      <c r="AC454" s="6" t="s">
        <v>2438</v>
      </c>
      <c r="AD454" s="7"/>
    </row>
    <row r="455" spans="1:30" ht="69.95" customHeight="1">
      <c r="A455" s="34">
        <v>176</v>
      </c>
      <c r="B455" s="7">
        <v>2017</v>
      </c>
      <c r="C455" s="6" t="str">
        <f>'[1]V, inciso p) (OP)'!B232</f>
        <v>Licitación Pública</v>
      </c>
      <c r="D455" s="6" t="str">
        <f>'[1]V, inciso p) (OP)'!D232</f>
        <v>DOPI-FED-FF-PAV-LP-176-2017</v>
      </c>
      <c r="E455" s="10">
        <f>'[1]V, inciso p) (OP)'!AD232</f>
        <v>43031</v>
      </c>
      <c r="F455" s="6" t="str">
        <f>'[1]V, inciso p) (OP)'!AL232</f>
        <v>Pavimentación con concreto hidráulico de la Av. Royal Country, segunda etapa, en los fraccionamientos Royal Country, Puerta de Hierro y Puerta Plata, municipio de Zapopan, Jalisco, frente 2.</v>
      </c>
      <c r="G455" s="6" t="s">
        <v>3331</v>
      </c>
      <c r="H455" s="25">
        <v>4650000</v>
      </c>
      <c r="I455" s="6" t="str">
        <f>'[1]V, inciso p) (OP)'!AS232</f>
        <v>Colonia Puerta Plata</v>
      </c>
      <c r="J455" s="6" t="str">
        <f>'[1]V, inciso p) (OP)'!T232</f>
        <v>J. GERARDO</v>
      </c>
      <c r="K455" s="6" t="str">
        <f>'[1]V, inciso p) (OP)'!U232</f>
        <v>NICANOR</v>
      </c>
      <c r="L455" s="6" t="str">
        <f>'[1]V, inciso p) (OP)'!V232</f>
        <v>MEJIA MARISCAL</v>
      </c>
      <c r="M455" s="6" t="s">
        <v>1886</v>
      </c>
      <c r="N455" s="6" t="str">
        <f>'[1]V, inciso p) (OP)'!X232</f>
        <v>ICO980722MQ4</v>
      </c>
      <c r="O455" s="11">
        <f t="shared" si="10"/>
        <v>4650000</v>
      </c>
      <c r="P455" s="11">
        <v>4650000.01</v>
      </c>
      <c r="Q455" s="14" t="s">
        <v>933</v>
      </c>
      <c r="R455" s="15">
        <f>O455/2720</f>
        <v>1709.5588235294117</v>
      </c>
      <c r="S455" s="7" t="s">
        <v>41</v>
      </c>
      <c r="T455" s="12">
        <v>122615</v>
      </c>
      <c r="U455" s="13" t="s">
        <v>42</v>
      </c>
      <c r="V455" s="7" t="s">
        <v>43</v>
      </c>
      <c r="W455" s="10">
        <f>'[1]V, inciso p) (OP)'!AM232</f>
        <v>43031</v>
      </c>
      <c r="X455" s="10">
        <f>'[1]V, inciso p) (OP)'!AN232</f>
        <v>43106</v>
      </c>
      <c r="Y455" s="7" t="s">
        <v>317</v>
      </c>
      <c r="Z455" s="7" t="s">
        <v>191</v>
      </c>
      <c r="AA455" s="7" t="s">
        <v>192</v>
      </c>
      <c r="AB455" s="21" t="s">
        <v>2688</v>
      </c>
      <c r="AC455" s="6" t="s">
        <v>2438</v>
      </c>
      <c r="AD455" s="7"/>
    </row>
    <row r="456" spans="1:30" ht="69.95" customHeight="1">
      <c r="A456" s="34">
        <v>177</v>
      </c>
      <c r="B456" s="7">
        <v>2017</v>
      </c>
      <c r="C456" s="6" t="str">
        <f>'[1]V, inciso p) (OP)'!B233</f>
        <v>Licitación Pública</v>
      </c>
      <c r="D456" s="6" t="str">
        <f>'[1]V, inciso p) (OP)'!D233</f>
        <v>DOPI-FED-FF-PAV-LP-177-2017</v>
      </c>
      <c r="E456" s="10">
        <f>'[1]V, inciso p) (OP)'!AD233</f>
        <v>43031</v>
      </c>
      <c r="F456" s="6" t="str">
        <f>'[1]V, inciso p) (OP)'!AL233</f>
        <v>Pavimentación de vialidad de acceso a la Unidad Deportiva Villa de Guadalupe, calle San Pedro y calle Febronio Lara, en la colonia Villa de Guadalupe, municipio de Zapopan, Jalisco, frente 1.</v>
      </c>
      <c r="G456" s="6" t="s">
        <v>3331</v>
      </c>
      <c r="H456" s="25">
        <v>4000000</v>
      </c>
      <c r="I456" s="6" t="str">
        <f>'[1]V, inciso p) (OP)'!AS233</f>
        <v>Colonia Villa de Guadalupe</v>
      </c>
      <c r="J456" s="6" t="str">
        <f>'[1]V, inciso p) (OP)'!T233</f>
        <v>ERICK</v>
      </c>
      <c r="K456" s="6" t="str">
        <f>'[1]V, inciso p) (OP)'!U233</f>
        <v>VILLASEÑOR</v>
      </c>
      <c r="L456" s="6" t="str">
        <f>'[1]V, inciso p) (OP)'!V233</f>
        <v>GUTIÉRREZ</v>
      </c>
      <c r="M456" s="6" t="s">
        <v>1843</v>
      </c>
      <c r="N456" s="6" t="str">
        <f>'[1]V, inciso p) (OP)'!X233</f>
        <v>PCO140829425</v>
      </c>
      <c r="O456" s="11">
        <f t="shared" si="10"/>
        <v>4000000</v>
      </c>
      <c r="P456" s="11">
        <v>4000000</v>
      </c>
      <c r="Q456" s="14" t="s">
        <v>934</v>
      </c>
      <c r="R456" s="15">
        <f>O456/1361</f>
        <v>2939.0154298310067</v>
      </c>
      <c r="S456" s="7" t="s">
        <v>41</v>
      </c>
      <c r="T456" s="12">
        <v>4596</v>
      </c>
      <c r="U456" s="13" t="s">
        <v>42</v>
      </c>
      <c r="V456" s="7" t="s">
        <v>43</v>
      </c>
      <c r="W456" s="10">
        <f>'[1]V, inciso p) (OP)'!AM233</f>
        <v>43031</v>
      </c>
      <c r="X456" s="10">
        <f>'[1]V, inciso p) (OP)'!AN233</f>
        <v>43106</v>
      </c>
      <c r="Y456" s="7" t="s">
        <v>431</v>
      </c>
      <c r="Z456" s="7" t="s">
        <v>181</v>
      </c>
      <c r="AA456" s="7" t="s">
        <v>89</v>
      </c>
      <c r="AB456" s="21" t="s">
        <v>2689</v>
      </c>
      <c r="AC456" s="6" t="s">
        <v>2438</v>
      </c>
      <c r="AD456" s="7"/>
    </row>
    <row r="457" spans="1:30" ht="69.95" customHeight="1">
      <c r="A457" s="34">
        <v>178</v>
      </c>
      <c r="B457" s="7">
        <v>2017</v>
      </c>
      <c r="C457" s="6" t="str">
        <f>'[1]V, inciso p) (OP)'!B234</f>
        <v>Licitación Pública</v>
      </c>
      <c r="D457" s="6" t="str">
        <f>'[1]V, inciso p) (OP)'!D234</f>
        <v>DOPI-FED-FF-PAV-LP-178-2017</v>
      </c>
      <c r="E457" s="10">
        <f>'[1]V, inciso p) (OP)'!AD234</f>
        <v>43031</v>
      </c>
      <c r="F457" s="6" t="str">
        <f>'[1]V, inciso p) (OP)'!AL234</f>
        <v>Pavimentación de vialidad de acceso a la Unidad Deportiva Villa de Guadalupe, calle San Pedro y calle Febronio Lara, en la colonia Villa de Guadalupe, municipio de Zapopan, Jalisco, frente 2.</v>
      </c>
      <c r="G457" s="6" t="s">
        <v>3331</v>
      </c>
      <c r="H457" s="25">
        <v>4000000</v>
      </c>
      <c r="I457" s="6" t="str">
        <f>'[1]V, inciso p) (OP)'!AS234</f>
        <v>Colonia Villa de Guadalupe</v>
      </c>
      <c r="J457" s="6" t="str">
        <f>'[1]V, inciso p) (OP)'!T234</f>
        <v>FELIPE DANIEL II</v>
      </c>
      <c r="K457" s="6" t="str">
        <f>'[1]V, inciso p) (OP)'!U234</f>
        <v>NUÑEZ</v>
      </c>
      <c r="L457" s="6" t="str">
        <f>'[1]V, inciso p) (OP)'!V234</f>
        <v>PINZON</v>
      </c>
      <c r="M457" s="6" t="s">
        <v>1849</v>
      </c>
      <c r="N457" s="6" t="str">
        <f>'[1]V, inciso p) (OP)'!X234</f>
        <v>GNU120809KX1</v>
      </c>
      <c r="O457" s="11">
        <f t="shared" si="10"/>
        <v>4000000</v>
      </c>
      <c r="P457" s="11">
        <v>4000000</v>
      </c>
      <c r="Q457" s="14" t="s">
        <v>935</v>
      </c>
      <c r="R457" s="15">
        <f>O457/1438</f>
        <v>2781.6411682892908</v>
      </c>
      <c r="S457" s="7" t="s">
        <v>41</v>
      </c>
      <c r="T457" s="12">
        <v>4596</v>
      </c>
      <c r="U457" s="13" t="s">
        <v>42</v>
      </c>
      <c r="V457" s="7" t="s">
        <v>43</v>
      </c>
      <c r="W457" s="10">
        <f>'[1]V, inciso p) (OP)'!AM234</f>
        <v>43031</v>
      </c>
      <c r="X457" s="10">
        <f>'[1]V, inciso p) (OP)'!AN234</f>
        <v>43106</v>
      </c>
      <c r="Y457" s="7" t="s">
        <v>431</v>
      </c>
      <c r="Z457" s="7" t="s">
        <v>181</v>
      </c>
      <c r="AA457" s="7" t="s">
        <v>89</v>
      </c>
      <c r="AB457" s="21" t="s">
        <v>1326</v>
      </c>
      <c r="AC457" s="6" t="s">
        <v>2438</v>
      </c>
      <c r="AD457" s="7"/>
    </row>
    <row r="458" spans="1:30" ht="69.95" customHeight="1">
      <c r="A458" s="34">
        <v>179</v>
      </c>
      <c r="B458" s="7">
        <v>2017</v>
      </c>
      <c r="C458" s="7" t="s">
        <v>62</v>
      </c>
      <c r="D458" s="6" t="str">
        <f>'[1]V, inciso o) (OP)'!C233</f>
        <v>DOPI-EST-CR-PAV-AD-179-2017</v>
      </c>
      <c r="E458" s="10">
        <f>'[1]V, inciso o) (OP)'!V233</f>
        <v>42958</v>
      </c>
      <c r="F458" s="32" t="str">
        <f>'[1]V, inciso o) (OP)'!AA233</f>
        <v>Construcción de la primera etapa de la calle Paseo de los Membrillos de Paseo de los Aguacates a Paseo de los Camichines de concreto hidráulico en la zona de la Mesa Colorada, incluye: guarniciones, banquetas, red de agua potable, alcantarillado y servicios complementarios, municipio de Zapopan, Jalisco.</v>
      </c>
      <c r="G458" s="6" t="s">
        <v>3315</v>
      </c>
      <c r="H458" s="25">
        <v>956408.83</v>
      </c>
      <c r="I458" s="6" t="s">
        <v>936</v>
      </c>
      <c r="J458" s="6" t="str">
        <f>'[1]V, inciso o) (OP)'!M233</f>
        <v>OSCAR</v>
      </c>
      <c r="K458" s="7" t="str">
        <f>'[1]V, inciso o) (OP)'!N233</f>
        <v>MARTÍNEZ</v>
      </c>
      <c r="L458" s="7" t="str">
        <f>'[1]V, inciso o) (OP)'!O233</f>
        <v>RODRÍGUEZ</v>
      </c>
      <c r="M458" s="6" t="s">
        <v>3185</v>
      </c>
      <c r="N458" s="7" t="str">
        <f>'[1]V, inciso o) (OP)'!Q233</f>
        <v>CCO070612CT2</v>
      </c>
      <c r="O458" s="11">
        <f t="shared" si="10"/>
        <v>956408.83</v>
      </c>
      <c r="P458" s="11">
        <v>956408.83000000007</v>
      </c>
      <c r="Q458" s="7" t="s">
        <v>937</v>
      </c>
      <c r="R458" s="11">
        <f>O458/660</f>
        <v>1449.1042878787878</v>
      </c>
      <c r="S458" s="7" t="s">
        <v>41</v>
      </c>
      <c r="T458" s="12">
        <v>456</v>
      </c>
      <c r="U458" s="13" t="s">
        <v>42</v>
      </c>
      <c r="V458" s="43" t="s">
        <v>43</v>
      </c>
      <c r="W458" s="10">
        <f>'[1]V, inciso o) (OP)'!AD233</f>
        <v>42958</v>
      </c>
      <c r="X458" s="10">
        <f>'[1]V, inciso o) (OP)'!AE233</f>
        <v>43008</v>
      </c>
      <c r="Y458" s="7" t="s">
        <v>345</v>
      </c>
      <c r="Z458" s="7" t="s">
        <v>938</v>
      </c>
      <c r="AA458" s="7" t="s">
        <v>939</v>
      </c>
      <c r="AB458" s="21" t="s">
        <v>2690</v>
      </c>
      <c r="AC458" s="6" t="s">
        <v>2438</v>
      </c>
      <c r="AD458" s="6"/>
    </row>
    <row r="459" spans="1:30" ht="69.95" customHeight="1">
      <c r="A459" s="34">
        <v>180</v>
      </c>
      <c r="B459" s="7">
        <v>2017</v>
      </c>
      <c r="C459" s="7" t="s">
        <v>62</v>
      </c>
      <c r="D459" s="6" t="str">
        <f>'[1]V, inciso o) (OP)'!C234</f>
        <v>DOPI-MUN-RM-APDS-180-2017</v>
      </c>
      <c r="E459" s="10">
        <f>'[1]V, inciso o) (OP)'!V234</f>
        <v>42951</v>
      </c>
      <c r="F459" s="32" t="str">
        <f>'[1]V, inciso o) (OP)'!AA234</f>
        <v>Construcción de línea de impulsión del pozo a tanque de almacenamiento y rehabilitación de tanque superficial de almacenamiento de agua en el Ejido Copalita, municipio de Zapopan, Jalisco.</v>
      </c>
      <c r="G459" s="6" t="s">
        <v>63</v>
      </c>
      <c r="H459" s="25">
        <v>1248911.51</v>
      </c>
      <c r="I459" s="6" t="s">
        <v>940</v>
      </c>
      <c r="J459" s="6" t="str">
        <f>'[1]V, inciso o) (OP)'!M234</f>
        <v>ERICK</v>
      </c>
      <c r="K459" s="7" t="str">
        <f>'[1]V, inciso o) (OP)'!N234</f>
        <v>VILLASEÑOR</v>
      </c>
      <c r="L459" s="7" t="str">
        <f>'[1]V, inciso o) (OP)'!O234</f>
        <v>GUTIÉRREZ</v>
      </c>
      <c r="M459" s="6" t="s">
        <v>1843</v>
      </c>
      <c r="N459" s="7" t="str">
        <f>'[1]V, inciso o) (OP)'!Q234</f>
        <v>PCO140829425</v>
      </c>
      <c r="O459" s="11">
        <f t="shared" si="10"/>
        <v>1248911.51</v>
      </c>
      <c r="P459" s="11">
        <v>1181389.49</v>
      </c>
      <c r="Q459" s="7" t="s">
        <v>941</v>
      </c>
      <c r="R459" s="11">
        <f>O459/392</f>
        <v>3185.9987500000002</v>
      </c>
      <c r="S459" s="7" t="s">
        <v>41</v>
      </c>
      <c r="T459" s="12">
        <v>186</v>
      </c>
      <c r="U459" s="13" t="s">
        <v>42</v>
      </c>
      <c r="V459" s="7" t="s">
        <v>43</v>
      </c>
      <c r="W459" s="10">
        <f>'[1]V, inciso o) (OP)'!AD234</f>
        <v>42954</v>
      </c>
      <c r="X459" s="10">
        <f>'[1]V, inciso o) (OP)'!AE234</f>
        <v>43008</v>
      </c>
      <c r="Y459" s="7" t="s">
        <v>460</v>
      </c>
      <c r="Z459" s="7" t="s">
        <v>302</v>
      </c>
      <c r="AA459" s="7" t="s">
        <v>303</v>
      </c>
      <c r="AB459" s="21" t="s">
        <v>1555</v>
      </c>
      <c r="AC459" s="6" t="s">
        <v>2438</v>
      </c>
      <c r="AD459" s="6"/>
    </row>
    <row r="460" spans="1:30" ht="69.95" customHeight="1">
      <c r="A460" s="34">
        <v>181</v>
      </c>
      <c r="B460" s="7">
        <v>2017</v>
      </c>
      <c r="C460" s="7" t="s">
        <v>62</v>
      </c>
      <c r="D460" s="6" t="str">
        <f>'[1]V, inciso o) (OP)'!C235</f>
        <v>DOPI-MUN-R33R-APDS-AD-181-2017</v>
      </c>
      <c r="E460" s="10">
        <f>'[1]V, inciso o) (OP)'!V235</f>
        <v>42977</v>
      </c>
      <c r="F460" s="32" t="str">
        <f>'[1]V, inciso o) (OP)'!AA235</f>
        <v>Construcción de red de agua potable en la calle Colegio Militar, entre Flamingo y Alazan Lucero, colonia La Granja; Construcción de red de drenaje sanitario en la calle Hilo Verde de calle Hilo Blanco a calle Hilo Azul, en la colonia Las Agujas; Construcción de drenaje sanitario en la calle Vista Real de la calle Vista a la Campiña a cerrada, colonia Vista Hermosa, municipio de Zapopan, Jalisco.</v>
      </c>
      <c r="G460" s="6" t="s">
        <v>3326</v>
      </c>
      <c r="H460" s="25">
        <v>1655035.68</v>
      </c>
      <c r="I460" s="6" t="s">
        <v>942</v>
      </c>
      <c r="J460" s="6" t="str">
        <f>'[1]V, inciso o) (OP)'!M235</f>
        <v>RAFAEL AUGUSTO</v>
      </c>
      <c r="K460" s="7" t="str">
        <f>'[1]V, inciso o) (OP)'!N235</f>
        <v>CABALLERO</v>
      </c>
      <c r="L460" s="7" t="str">
        <f>'[1]V, inciso o) (OP)'!O235</f>
        <v>QUIRARTE</v>
      </c>
      <c r="M460" s="6" t="s">
        <v>3043</v>
      </c>
      <c r="N460" s="7" t="str">
        <f>'[1]V, inciso o) (OP)'!Q235</f>
        <v>PAT110331HH0</v>
      </c>
      <c r="O460" s="11">
        <f t="shared" si="10"/>
        <v>1655035.68</v>
      </c>
      <c r="P460" s="11">
        <v>1618933.68</v>
      </c>
      <c r="Q460" s="7" t="s">
        <v>943</v>
      </c>
      <c r="R460" s="11">
        <f>O460/489</f>
        <v>3384.531042944785</v>
      </c>
      <c r="S460" s="7" t="s">
        <v>41</v>
      </c>
      <c r="T460" s="12">
        <v>695</v>
      </c>
      <c r="U460" s="13" t="s">
        <v>42</v>
      </c>
      <c r="V460" s="7" t="s">
        <v>43</v>
      </c>
      <c r="W460" s="10">
        <f>'[1]V, inciso o) (OP)'!AD235</f>
        <v>42982</v>
      </c>
      <c r="X460" s="10">
        <f>'[1]V, inciso o) (OP)'!AE235</f>
        <v>43039</v>
      </c>
      <c r="Y460" s="7" t="s">
        <v>808</v>
      </c>
      <c r="Z460" s="7" t="s">
        <v>944</v>
      </c>
      <c r="AA460" s="7" t="s">
        <v>945</v>
      </c>
      <c r="AB460" s="21" t="s">
        <v>2691</v>
      </c>
      <c r="AC460" s="6" t="s">
        <v>2438</v>
      </c>
      <c r="AD460" s="6"/>
    </row>
    <row r="461" spans="1:30" ht="69.95" customHeight="1">
      <c r="A461" s="34">
        <v>182</v>
      </c>
      <c r="B461" s="7">
        <v>2017</v>
      </c>
      <c r="C461" s="7" t="s">
        <v>62</v>
      </c>
      <c r="D461" s="6" t="str">
        <f>'[1]V, inciso o) (OP)'!C236</f>
        <v>DOPI-MUN-RM-MOV-AD-182-2017</v>
      </c>
      <c r="E461" s="10">
        <f>'[1]V, inciso o) (OP)'!V236</f>
        <v>42920</v>
      </c>
      <c r="F461" s="6" t="str">
        <f>'[1]V, inciso o) (OP)'!AA236</f>
        <v>Señalética horizontal-vertical y obra complementaria en la calle Jalisco de la calle Aldama a la calle San Francisco, en la localidad de Tesistán, municipio de Zapopan, Jalisco.</v>
      </c>
      <c r="G461" s="6" t="s">
        <v>63</v>
      </c>
      <c r="H461" s="25">
        <v>328518.01</v>
      </c>
      <c r="I461" s="6" t="s">
        <v>553</v>
      </c>
      <c r="J461" s="6" t="str">
        <f>'[1]V, inciso o) (OP)'!M236</f>
        <v>JULIO EDUARDO</v>
      </c>
      <c r="K461" s="7" t="str">
        <f>'[1]V, inciso o) (OP)'!N236</f>
        <v>LÓPEZ</v>
      </c>
      <c r="L461" s="7" t="str">
        <f>'[1]V, inciso o) (OP)'!O236</f>
        <v>PÉREZ</v>
      </c>
      <c r="M461" s="6" t="s">
        <v>2204</v>
      </c>
      <c r="N461" s="7" t="str">
        <f>'[1]V, inciso o) (OP)'!Q236</f>
        <v>PEI020208RW0</v>
      </c>
      <c r="O461" s="11">
        <f t="shared" si="10"/>
        <v>328518.01</v>
      </c>
      <c r="P461" s="11">
        <v>196642.21</v>
      </c>
      <c r="Q461" s="7" t="s">
        <v>946</v>
      </c>
      <c r="R461" s="11">
        <f>O461/28</f>
        <v>11732.786071428573</v>
      </c>
      <c r="S461" s="7" t="s">
        <v>41</v>
      </c>
      <c r="T461" s="12">
        <v>956</v>
      </c>
      <c r="U461" s="13" t="s">
        <v>42</v>
      </c>
      <c r="V461" s="7" t="s">
        <v>43</v>
      </c>
      <c r="W461" s="10">
        <f>'[1]V, inciso o) (OP)'!AD236</f>
        <v>42926</v>
      </c>
      <c r="X461" s="10">
        <f>'[1]V, inciso o) (OP)'!AE236</f>
        <v>42962</v>
      </c>
      <c r="Y461" s="7" t="s">
        <v>718</v>
      </c>
      <c r="Z461" s="7" t="s">
        <v>947</v>
      </c>
      <c r="AA461" s="7" t="s">
        <v>116</v>
      </c>
      <c r="AB461" s="21" t="s">
        <v>1556</v>
      </c>
      <c r="AC461" s="6" t="s">
        <v>2438</v>
      </c>
      <c r="AD461" s="6"/>
    </row>
    <row r="462" spans="1:30" ht="69.95" customHeight="1">
      <c r="A462" s="34">
        <v>183</v>
      </c>
      <c r="B462" s="7">
        <v>2017</v>
      </c>
      <c r="C462" s="7" t="s">
        <v>62</v>
      </c>
      <c r="D462" s="6" t="str">
        <f>'[1]V, inciso o) (OP)'!C237</f>
        <v>DOPI-MUN-R33R-AP-AD-183-2017</v>
      </c>
      <c r="E462" s="10">
        <f>'[1]V, inciso o) (OP)'!V237</f>
        <v>42979</v>
      </c>
      <c r="F462" s="6" t="str">
        <f>'[1]V, inciso o) (OP)'!AA237</f>
        <v>Construcción de red de agua potable en la calle Vicente Guerrero de Pinos a la Av. Agua Fría, Privada Vicente Guerrero, Andador Pinos de Pinos a calle Agua Fría en la colonia Miguel Hidalgo, municipio de Zapopan, Jalisco.</v>
      </c>
      <c r="G462" s="6" t="s">
        <v>3326</v>
      </c>
      <c r="H462" s="25">
        <v>892500.25</v>
      </c>
      <c r="I462" s="6" t="s">
        <v>948</v>
      </c>
      <c r="J462" s="6" t="str">
        <f>'[1]V, inciso o) (OP)'!M237</f>
        <v>MIGUEL ÁNGEL</v>
      </c>
      <c r="K462" s="7" t="str">
        <f>'[1]V, inciso o) (OP)'!N237</f>
        <v>RUÍZ</v>
      </c>
      <c r="L462" s="7" t="str">
        <f>'[1]V, inciso o) (OP)'!O237</f>
        <v>CASTAÑEDA</v>
      </c>
      <c r="M462" s="6" t="s">
        <v>3093</v>
      </c>
      <c r="N462" s="7" t="str">
        <f>'[1]V, inciso o) (OP)'!Q237</f>
        <v>SIA011224UN1</v>
      </c>
      <c r="O462" s="11">
        <f t="shared" si="10"/>
        <v>892500.25</v>
      </c>
      <c r="P462" s="11">
        <v>845764.89</v>
      </c>
      <c r="Q462" s="7" t="s">
        <v>949</v>
      </c>
      <c r="R462" s="11">
        <f>O462/512</f>
        <v>1743.16455078125</v>
      </c>
      <c r="S462" s="7" t="s">
        <v>41</v>
      </c>
      <c r="T462" s="12">
        <v>351</v>
      </c>
      <c r="U462" s="13" t="s">
        <v>42</v>
      </c>
      <c r="V462" s="7" t="s">
        <v>43</v>
      </c>
      <c r="W462" s="10">
        <f>'[1]V, inciso o) (OP)'!AD237</f>
        <v>42984</v>
      </c>
      <c r="X462" s="10">
        <f>'[1]V, inciso o) (OP)'!AE237</f>
        <v>43033</v>
      </c>
      <c r="Y462" s="7" t="s">
        <v>753</v>
      </c>
      <c r="Z462" s="7" t="s">
        <v>827</v>
      </c>
      <c r="AA462" s="7" t="s">
        <v>755</v>
      </c>
      <c r="AB462" s="21" t="s">
        <v>1338</v>
      </c>
      <c r="AC462" s="6" t="s">
        <v>2438</v>
      </c>
      <c r="AD462" s="6"/>
    </row>
    <row r="463" spans="1:30" ht="69.95" customHeight="1">
      <c r="A463" s="34">
        <v>184</v>
      </c>
      <c r="B463" s="7">
        <v>2017</v>
      </c>
      <c r="C463" s="6" t="str">
        <f>'[1]V, inciso p) (OP)'!B235</f>
        <v>Licitación por Invitación Restringida</v>
      </c>
      <c r="D463" s="6" t="str">
        <f>'[1]V, inciso p) (OP)'!D235</f>
        <v>DOPI-MUN-RM-SP-CI-184-2017</v>
      </c>
      <c r="E463" s="10">
        <f>'[1]V, inciso p) (OP)'!AD235</f>
        <v>43031</v>
      </c>
      <c r="F463" s="6" t="str">
        <f>'[1]V, inciso p) (OP)'!AL235</f>
        <v>Elaboración de proyecto, obra complementaria suministro de equipos y puesta en marcha del Centro de comando, control, comunicaciones, cómputo y coordinación del complejo C4 en el Edificio de Seguridad Pública en Zapopan, Jalisco.</v>
      </c>
      <c r="G463" s="6" t="s">
        <v>63</v>
      </c>
      <c r="H463" s="25">
        <v>134997173.33000001</v>
      </c>
      <c r="I463" s="6" t="str">
        <f>'[1]V, inciso p) (OP)'!AS235</f>
        <v>Colonia Villa de los Belenes</v>
      </c>
      <c r="J463" s="6" t="str">
        <f>'[1]V, inciso p) (OP)'!T235</f>
        <v>HÉCTOR MARIO</v>
      </c>
      <c r="K463" s="6" t="str">
        <f>'[1]V, inciso p) (OP)'!U235</f>
        <v xml:space="preserve">CHAVIRA </v>
      </c>
      <c r="L463" s="6" t="str">
        <f>'[1]V, inciso p) (OP)'!V235</f>
        <v>PEÑA</v>
      </c>
      <c r="M463" s="6" t="s">
        <v>3186</v>
      </c>
      <c r="N463" s="6" t="str">
        <f>'[1]V, inciso p) (OP)'!X235</f>
        <v>HTE990426RR1</v>
      </c>
      <c r="O463" s="11">
        <f t="shared" si="10"/>
        <v>134997173.33000001</v>
      </c>
      <c r="P463" s="11">
        <v>134997173.31</v>
      </c>
      <c r="Q463" s="14" t="s">
        <v>618</v>
      </c>
      <c r="R463" s="15">
        <f>O463</f>
        <v>134997173.33000001</v>
      </c>
      <c r="S463" s="7" t="s">
        <v>41</v>
      </c>
      <c r="T463" s="12">
        <v>1332272</v>
      </c>
      <c r="U463" s="13" t="s">
        <v>42</v>
      </c>
      <c r="V463" s="43" t="s">
        <v>43</v>
      </c>
      <c r="W463" s="10">
        <f>'[1]V, inciso p) (OP)'!AM235</f>
        <v>43031</v>
      </c>
      <c r="X463" s="10">
        <f>'[1]V, inciso p) (OP)'!AN235</f>
        <v>43179</v>
      </c>
      <c r="Y463" s="7" t="s">
        <v>431</v>
      </c>
      <c r="Z463" s="7" t="s">
        <v>181</v>
      </c>
      <c r="AA463" s="7" t="s">
        <v>89</v>
      </c>
      <c r="AB463" s="21" t="s">
        <v>2692</v>
      </c>
      <c r="AC463" s="6" t="s">
        <v>2438</v>
      </c>
      <c r="AD463" s="6"/>
    </row>
    <row r="464" spans="1:30" ht="69.95" customHeight="1">
      <c r="A464" s="34">
        <v>185</v>
      </c>
      <c r="B464" s="7">
        <v>2017</v>
      </c>
      <c r="C464" s="6" t="str">
        <f>'[1]V, inciso p) (OP)'!B236</f>
        <v>Invitación a Cuando Menos Tres Personas</v>
      </c>
      <c r="D464" s="6" t="str">
        <f>'[1]V, inciso p) (OP)'!D236</f>
        <v>DOPI-FED-FF-PAV-CI-185-2017</v>
      </c>
      <c r="E464" s="10">
        <f>'[1]V, inciso p) (OP)'!AD236</f>
        <v>43031</v>
      </c>
      <c r="F464" s="6" t="str">
        <f>'[1]V, inciso p) (OP)'!AL236</f>
        <v>Pavimentación de vialidad de acceso al Centro de Desarrollo Comunitario Miramar, calle Prolongación Guadalupe, en las colonias Miramar y Carlos Rivera Aceves, municipio de Zapopan, Jalisco.</v>
      </c>
      <c r="G464" s="6" t="s">
        <v>3331</v>
      </c>
      <c r="H464" s="25">
        <v>3000000</v>
      </c>
      <c r="I464" s="6" t="str">
        <f>'[1]V, inciso p) (OP)'!AS236</f>
        <v>Colonia Miramar</v>
      </c>
      <c r="J464" s="6" t="str">
        <f>'[1]V, inciso p) (OP)'!T236</f>
        <v>JOSÉ OMAR</v>
      </c>
      <c r="K464" s="6" t="str">
        <f>'[1]V, inciso p) (OP)'!U236</f>
        <v>FERNÁNDEZ</v>
      </c>
      <c r="L464" s="6" t="str">
        <f>'[1]V, inciso p) (OP)'!V236</f>
        <v>VÁZQUEZ</v>
      </c>
      <c r="M464" s="6" t="s">
        <v>3174</v>
      </c>
      <c r="N464" s="6" t="str">
        <f>'[1]V, inciso p) (OP)'!X236</f>
        <v>ECO0908115Z7</v>
      </c>
      <c r="O464" s="11">
        <f t="shared" si="10"/>
        <v>3000000</v>
      </c>
      <c r="P464" s="11">
        <v>2999997</v>
      </c>
      <c r="Q464" s="14" t="s">
        <v>950</v>
      </c>
      <c r="R464" s="15">
        <f>O464/619</f>
        <v>4846.5266558966077</v>
      </c>
      <c r="S464" s="7" t="s">
        <v>41</v>
      </c>
      <c r="T464" s="12">
        <v>5231</v>
      </c>
      <c r="U464" s="13" t="s">
        <v>42</v>
      </c>
      <c r="V464" s="7" t="s">
        <v>43</v>
      </c>
      <c r="W464" s="10">
        <f>'[1]V, inciso p) (OP)'!AM236</f>
        <v>43031</v>
      </c>
      <c r="X464" s="10">
        <f>'[1]V, inciso p) (OP)'!AN236</f>
        <v>43106</v>
      </c>
      <c r="Y464" s="7" t="s">
        <v>722</v>
      </c>
      <c r="Z464" s="7" t="s">
        <v>231</v>
      </c>
      <c r="AA464" s="7" t="s">
        <v>143</v>
      </c>
      <c r="AB464" s="21" t="s">
        <v>2693</v>
      </c>
      <c r="AC464" s="6" t="s">
        <v>2438</v>
      </c>
      <c r="AD464" s="7"/>
    </row>
    <row r="465" spans="1:30" ht="69.95" customHeight="1">
      <c r="A465" s="34">
        <v>186</v>
      </c>
      <c r="B465" s="7">
        <v>2017</v>
      </c>
      <c r="C465" s="6" t="str">
        <f>'[1]V, inciso p) (OP)'!B237</f>
        <v>Invitación a Cuando Menos Tres Personas</v>
      </c>
      <c r="D465" s="6" t="str">
        <f>'[1]V, inciso p) (OP)'!D237</f>
        <v>DOPI-FED-FF-PAV-CI-186-2017</v>
      </c>
      <c r="E465" s="10">
        <f>'[1]V, inciso p) (OP)'!AD237</f>
        <v>43031</v>
      </c>
      <c r="F465" s="6" t="str">
        <f>'[1]V, inciso p) (OP)'!AL237</f>
        <v>Pavimentación de vialidad de acceso al Centro de Desarrollo Comunitario San Juan de Ocotán, calle 16 de Septiembre, en San Juan de Ocotán, municipio de Zapopan, Jalisco.</v>
      </c>
      <c r="G465" s="6" t="s">
        <v>3331</v>
      </c>
      <c r="H465" s="25">
        <v>4000000</v>
      </c>
      <c r="I465" s="6" t="str">
        <f>'[1]V, inciso p) (OP)'!AS237</f>
        <v>San Juan de Ocotán</v>
      </c>
      <c r="J465" s="6" t="str">
        <f>'[1]V, inciso p) (OP)'!T237</f>
        <v>JUAN JOSÉ</v>
      </c>
      <c r="K465" s="6" t="str">
        <f>'[1]V, inciso p) (OP)'!U237</f>
        <v>GUTIÉRREZ</v>
      </c>
      <c r="L465" s="6" t="str">
        <f>'[1]V, inciso p) (OP)'!V237</f>
        <v>CONTRERAS</v>
      </c>
      <c r="M465" s="6" t="s">
        <v>3158</v>
      </c>
      <c r="N465" s="6" t="str">
        <f>'[1]V, inciso p) (OP)'!X237</f>
        <v>RCO130920JX9</v>
      </c>
      <c r="O465" s="11">
        <f t="shared" si="10"/>
        <v>4000000</v>
      </c>
      <c r="P465" s="11">
        <v>3999999</v>
      </c>
      <c r="Q465" s="14" t="s">
        <v>951</v>
      </c>
      <c r="R465" s="15">
        <f>O465/1296</f>
        <v>3086.4197530864199</v>
      </c>
      <c r="S465" s="7" t="s">
        <v>41</v>
      </c>
      <c r="T465" s="12">
        <v>4320</v>
      </c>
      <c r="U465" s="13" t="s">
        <v>42</v>
      </c>
      <c r="V465" s="43" t="s">
        <v>43</v>
      </c>
      <c r="W465" s="10">
        <f>'[1]V, inciso p) (OP)'!AM237</f>
        <v>43031</v>
      </c>
      <c r="X465" s="10">
        <f>'[1]V, inciso p) (OP)'!AN237</f>
        <v>43106</v>
      </c>
      <c r="Y465" s="7" t="s">
        <v>838</v>
      </c>
      <c r="Z465" s="7" t="s">
        <v>447</v>
      </c>
      <c r="AA465" s="7" t="s">
        <v>448</v>
      </c>
      <c r="AB465" s="21" t="s">
        <v>2694</v>
      </c>
      <c r="AC465" s="6" t="s">
        <v>2438</v>
      </c>
      <c r="AD465" s="6"/>
    </row>
    <row r="466" spans="1:30" ht="69.95" customHeight="1">
      <c r="A466" s="34">
        <v>187</v>
      </c>
      <c r="B466" s="7">
        <v>2017</v>
      </c>
      <c r="C466" s="6" t="str">
        <f>'[1]V, inciso p) (OP)'!B238</f>
        <v>Invitación a Cuando Menos Tres Personas</v>
      </c>
      <c r="D466" s="6" t="str">
        <f>'[1]V, inciso p) (OP)'!D238</f>
        <v>DOPI-FED-FF-PAV-CI-187-2017</v>
      </c>
      <c r="E466" s="10">
        <f>'[1]V, inciso p) (OP)'!AD238</f>
        <v>43031</v>
      </c>
      <c r="F466" s="6" t="str">
        <f>'[1]V, inciso p) (OP)'!AL238</f>
        <v>Pavimentación de vialidad de acceso a la Unidad Paseos del Briseño, calle Magnolia, en las colonias Paseos del Briseño y Agrícola, municipio de Zapopan, Jalisco.</v>
      </c>
      <c r="G466" s="6" t="s">
        <v>3331</v>
      </c>
      <c r="H466" s="25">
        <v>3500000</v>
      </c>
      <c r="I466" s="6" t="str">
        <f>'[1]V, inciso p) (OP)'!AS238</f>
        <v>Colonias Paseos del Briseño y Agrícola</v>
      </c>
      <c r="J466" s="6" t="str">
        <f>'[1]V, inciso p) (OP)'!T238</f>
        <v xml:space="preserve"> BERNARDO </v>
      </c>
      <c r="K466" s="6" t="str">
        <f>'[1]V, inciso p) (OP)'!U238</f>
        <v xml:space="preserve">SAENZ </v>
      </c>
      <c r="L466" s="6" t="str">
        <f>'[1]V, inciso p) (OP)'!V238</f>
        <v>BARBA</v>
      </c>
      <c r="M466" s="6" t="s">
        <v>3154</v>
      </c>
      <c r="N466" s="6" t="str">
        <f>'[1]V, inciso p) (OP)'!X238</f>
        <v>GEM070112PX8</v>
      </c>
      <c r="O466" s="11">
        <f t="shared" si="10"/>
        <v>3500000</v>
      </c>
      <c r="P466" s="11">
        <v>3500000.41</v>
      </c>
      <c r="Q466" s="14" t="s">
        <v>952</v>
      </c>
      <c r="R466" s="15">
        <f>O466/1015</f>
        <v>3448.2758620689656</v>
      </c>
      <c r="S466" s="7" t="s">
        <v>41</v>
      </c>
      <c r="T466" s="12">
        <v>3569</v>
      </c>
      <c r="U466" s="13" t="s">
        <v>42</v>
      </c>
      <c r="V466" s="43" t="s">
        <v>43</v>
      </c>
      <c r="W466" s="10">
        <f>'[1]V, inciso p) (OP)'!AM238</f>
        <v>43031</v>
      </c>
      <c r="X466" s="10">
        <f>'[1]V, inciso p) (OP)'!AN238</f>
        <v>43106</v>
      </c>
      <c r="Y466" s="7" t="s">
        <v>722</v>
      </c>
      <c r="Z466" s="7" t="s">
        <v>274</v>
      </c>
      <c r="AA466" s="7" t="s">
        <v>275</v>
      </c>
      <c r="AB466" s="21" t="s">
        <v>2695</v>
      </c>
      <c r="AC466" s="6" t="s">
        <v>2438</v>
      </c>
      <c r="AD466" s="6"/>
    </row>
    <row r="467" spans="1:30" ht="69.95" customHeight="1">
      <c r="A467" s="34">
        <v>188</v>
      </c>
      <c r="B467" s="7">
        <v>2017</v>
      </c>
      <c r="C467" s="6" t="str">
        <f>'[1]V, inciso p) (OP)'!B239</f>
        <v>Invitación a Cuando Menos Tres Personas</v>
      </c>
      <c r="D467" s="6" t="str">
        <f>'[1]V, inciso p) (OP)'!D239</f>
        <v>DOPI-FED-FF-PAV-CI-188-2017</v>
      </c>
      <c r="E467" s="10">
        <f>'[1]V, inciso p) (OP)'!AD239</f>
        <v>43031</v>
      </c>
      <c r="F467" s="6" t="str">
        <f>'[1]V, inciso p) (OP)'!AL239</f>
        <v>Reencarpetado y peatonalización de vialidad de acceso a la Unidad Deportiva Santa María del Pueblito, calle independencia, en Santa María del Pueblito, municipio de Zapopan, Jalisco.</v>
      </c>
      <c r="G467" s="6" t="s">
        <v>3331</v>
      </c>
      <c r="H467" s="25">
        <v>3951449.09</v>
      </c>
      <c r="I467" s="6" t="str">
        <f>'[1]V, inciso p) (OP)'!AS239</f>
        <v>Colonia Santa Maria del Pueblito</v>
      </c>
      <c r="J467" s="6" t="str">
        <f>'[1]V, inciso p) (OP)'!T239</f>
        <v>ÁNGEL SALOMÓN</v>
      </c>
      <c r="K467" s="6" t="str">
        <f>'[1]V, inciso p) (OP)'!U239</f>
        <v>RINCÓN</v>
      </c>
      <c r="L467" s="6" t="str">
        <f>'[1]V, inciso p) (OP)'!V239</f>
        <v>DE LA ROSA</v>
      </c>
      <c r="M467" s="6" t="s">
        <v>3167</v>
      </c>
      <c r="N467" s="6" t="str">
        <f>'[1]V, inciso p) (OP)'!X239</f>
        <v>AAR120507VA9</v>
      </c>
      <c r="O467" s="11">
        <f t="shared" si="10"/>
        <v>3951449.09</v>
      </c>
      <c r="P467" s="11">
        <v>3951930.83</v>
      </c>
      <c r="Q467" s="14" t="s">
        <v>953</v>
      </c>
      <c r="R467" s="15">
        <f>O467/4885</f>
        <v>808.89438894575233</v>
      </c>
      <c r="S467" s="7" t="s">
        <v>41</v>
      </c>
      <c r="T467" s="12">
        <v>6982</v>
      </c>
      <c r="U467" s="13" t="s">
        <v>42</v>
      </c>
      <c r="V467" s="7" t="s">
        <v>43</v>
      </c>
      <c r="W467" s="10">
        <f>'[1]V, inciso p) (OP)'!AM239</f>
        <v>43031</v>
      </c>
      <c r="X467" s="10">
        <f>'[1]V, inciso p) (OP)'!AN239</f>
        <v>43106</v>
      </c>
      <c r="Y467" s="7" t="s">
        <v>380</v>
      </c>
      <c r="Z467" s="7" t="s">
        <v>45</v>
      </c>
      <c r="AA467" s="7" t="s">
        <v>46</v>
      </c>
      <c r="AB467" s="21" t="s">
        <v>2696</v>
      </c>
      <c r="AC467" s="6" t="s">
        <v>2438</v>
      </c>
      <c r="AD467" s="7"/>
    </row>
    <row r="468" spans="1:30" ht="69.95" customHeight="1">
      <c r="A468" s="34">
        <v>189</v>
      </c>
      <c r="B468" s="7">
        <v>2017</v>
      </c>
      <c r="C468" s="6" t="str">
        <f>'[1]V, inciso p) (OP)'!B240</f>
        <v>Invitación a Cuando Menos Tres Personas</v>
      </c>
      <c r="D468" s="6" t="str">
        <f>'[1]V, inciso p) (OP)'!D240</f>
        <v>DOPI-FED-FF-PAV-CI-189-2017</v>
      </c>
      <c r="E468" s="10">
        <f>'[1]V, inciso p) (OP)'!AD240</f>
        <v>43031</v>
      </c>
      <c r="F468" s="6" t="str">
        <f>'[1]V, inciso p) (OP)'!AL240</f>
        <v>Reencarpetado y peatonalización de vialidad de acceso a la Unidad Deportiva Santa Margarita, calle Santa Matilde, en la colonia Santa Margarita, municipio de Zapopan, Jalisco.</v>
      </c>
      <c r="G468" s="6" t="s">
        <v>3331</v>
      </c>
      <c r="H468" s="25">
        <v>988095.31</v>
      </c>
      <c r="I468" s="6" t="str">
        <f>'[1]V, inciso p) (OP)'!AS240</f>
        <v>Colonia Santa Margarita</v>
      </c>
      <c r="J468" s="6" t="str">
        <f>'[1]V, inciso p) (OP)'!T240</f>
        <v>RODRIGO</v>
      </c>
      <c r="K468" s="6" t="str">
        <f>'[1]V, inciso p) (OP)'!U240</f>
        <v>RAMOS</v>
      </c>
      <c r="L468" s="6" t="str">
        <f>'[1]V, inciso p) (OP)'!V240</f>
        <v>GARIBI</v>
      </c>
      <c r="M468" s="6" t="s">
        <v>3177</v>
      </c>
      <c r="N468" s="6" t="str">
        <f>'[1]V, inciso p) (OP)'!X240</f>
        <v>CMA070307RU6</v>
      </c>
      <c r="O468" s="11">
        <f t="shared" si="10"/>
        <v>988095.31</v>
      </c>
      <c r="P468" s="11">
        <v>988095.30999999994</v>
      </c>
      <c r="Q468" s="14" t="s">
        <v>954</v>
      </c>
      <c r="R468" s="15">
        <f>O468/676</f>
        <v>1461.679452662722</v>
      </c>
      <c r="S468" s="7" t="s">
        <v>41</v>
      </c>
      <c r="T468" s="12">
        <v>8842</v>
      </c>
      <c r="U468" s="13" t="s">
        <v>42</v>
      </c>
      <c r="V468" s="43" t="s">
        <v>43</v>
      </c>
      <c r="W468" s="10">
        <f>'[1]V, inciso p) (OP)'!AM240</f>
        <v>43031</v>
      </c>
      <c r="X468" s="10">
        <f>'[1]V, inciso p) (OP)'!AN240</f>
        <v>43106</v>
      </c>
      <c r="Y468" s="7" t="s">
        <v>603</v>
      </c>
      <c r="Z468" s="7" t="s">
        <v>604</v>
      </c>
      <c r="AA468" s="7" t="s">
        <v>605</v>
      </c>
      <c r="AB468" s="21" t="s">
        <v>2697</v>
      </c>
      <c r="AC468" s="6" t="s">
        <v>2438</v>
      </c>
      <c r="AD468" s="6"/>
    </row>
    <row r="469" spans="1:30" ht="69.95" customHeight="1">
      <c r="A469" s="34">
        <v>190</v>
      </c>
      <c r="B469" s="7">
        <v>2017</v>
      </c>
      <c r="C469" s="6" t="str">
        <f>'[1]V, inciso p) (OP)'!B241</f>
        <v>Invitación a Cuando Menos Tres Personas</v>
      </c>
      <c r="D469" s="6" t="str">
        <f>'[1]V, inciso p) (OP)'!D241</f>
        <v>DOPI-FED-FF-DS-CI-190-2017</v>
      </c>
      <c r="E469" s="10">
        <f>'[1]V, inciso p) (OP)'!AD241</f>
        <v>43031</v>
      </c>
      <c r="F469" s="6" t="str">
        <f>'[1]V, inciso p) (OP)'!AL241</f>
        <v>Construcción de colector pluvial sobre la calle Cuarta Poniente, en la colonia Nuevo México, municipio de Zapopan, Jalisco.</v>
      </c>
      <c r="G469" s="6" t="s">
        <v>3331</v>
      </c>
      <c r="H469" s="25">
        <v>4000000</v>
      </c>
      <c r="I469" s="6" t="str">
        <f>'[1]V, inciso p) (OP)'!AS241</f>
        <v>Colonia Nuevo México</v>
      </c>
      <c r="J469" s="6" t="str">
        <f>'[1]V, inciso p) (OP)'!T241</f>
        <v>CARLOS</v>
      </c>
      <c r="K469" s="6" t="str">
        <f>'[1]V, inciso p) (OP)'!U241</f>
        <v>PÉREZ</v>
      </c>
      <c r="L469" s="6" t="str">
        <f>'[1]V, inciso p) (OP)'!V241</f>
        <v>CRUZ</v>
      </c>
      <c r="M469" s="6" t="s">
        <v>1965</v>
      </c>
      <c r="N469" s="6" t="str">
        <f>'[1]V, inciso p) (OP)'!X241</f>
        <v>CPE070123PD4</v>
      </c>
      <c r="O469" s="11">
        <f t="shared" si="10"/>
        <v>4000000</v>
      </c>
      <c r="P469" s="11">
        <v>3996699.8</v>
      </c>
      <c r="Q469" s="14" t="s">
        <v>955</v>
      </c>
      <c r="R469" s="15">
        <f>O469/722</f>
        <v>5540.1662049861498</v>
      </c>
      <c r="S469" s="7" t="s">
        <v>41</v>
      </c>
      <c r="T469" s="12">
        <v>1098</v>
      </c>
      <c r="U469" s="13" t="s">
        <v>42</v>
      </c>
      <c r="V469" s="7" t="s">
        <v>43</v>
      </c>
      <c r="W469" s="10">
        <f>'[1]V, inciso p) (OP)'!AM241</f>
        <v>43031</v>
      </c>
      <c r="X469" s="10">
        <f>'[1]V, inciso p) (OP)'!AN241</f>
        <v>43106</v>
      </c>
      <c r="Y469" s="7" t="s">
        <v>331</v>
      </c>
      <c r="Z469" s="7" t="s">
        <v>332</v>
      </c>
      <c r="AA469" s="7" t="s">
        <v>116</v>
      </c>
      <c r="AB469" s="21" t="s">
        <v>2698</v>
      </c>
      <c r="AC469" s="6" t="s">
        <v>2438</v>
      </c>
      <c r="AD469" s="7"/>
    </row>
    <row r="470" spans="1:30" ht="69.95" customHeight="1">
      <c r="A470" s="34">
        <v>191</v>
      </c>
      <c r="B470" s="7">
        <v>2017</v>
      </c>
      <c r="C470" s="6" t="str">
        <f>'[1]V, inciso p) (OP)'!B242</f>
        <v>Invitación a Cuando Menos Tres Personas</v>
      </c>
      <c r="D470" s="6" t="str">
        <f>'[1]V, inciso p) (OP)'!D242</f>
        <v>DOPI-FED-FF-DS-CI-191-2017</v>
      </c>
      <c r="E470" s="10">
        <f>'[1]V, inciso p) (OP)'!AD242</f>
        <v>43031</v>
      </c>
      <c r="F470" s="6" t="str">
        <f>'[1]V, inciso p) (OP)'!AL242</f>
        <v>Construcción de colector pluvial calle Atotonilco, en la colonia Nuevo México, municipio de Zapopan, Jalisco.</v>
      </c>
      <c r="G470" s="6" t="s">
        <v>3331</v>
      </c>
      <c r="H470" s="25">
        <v>3993163.18</v>
      </c>
      <c r="I470" s="6" t="str">
        <f>'[1]V, inciso p) (OP)'!AS242</f>
        <v>Colonia Nuevo México</v>
      </c>
      <c r="J470" s="6" t="str">
        <f>'[1]V, inciso p) (OP)'!T242</f>
        <v>ALFREDO</v>
      </c>
      <c r="K470" s="6" t="str">
        <f>'[1]V, inciso p) (OP)'!U242</f>
        <v>AGUIRRE</v>
      </c>
      <c r="L470" s="6" t="str">
        <f>'[1]V, inciso p) (OP)'!V242</f>
        <v>MONTOYA</v>
      </c>
      <c r="M470" s="6" t="s">
        <v>2113</v>
      </c>
      <c r="N470" s="6" t="str">
        <f>'[1]V, inciso p) (OP)'!X242</f>
        <v>TAI920312952</v>
      </c>
      <c r="O470" s="11">
        <f t="shared" si="10"/>
        <v>3993163.18</v>
      </c>
      <c r="P470" s="11">
        <v>3993163.1900000004</v>
      </c>
      <c r="Q470" s="14" t="s">
        <v>956</v>
      </c>
      <c r="R470" s="15">
        <f>O470/934</f>
        <v>4275.3353104925054</v>
      </c>
      <c r="S470" s="7" t="s">
        <v>41</v>
      </c>
      <c r="T470" s="12">
        <v>989</v>
      </c>
      <c r="U470" s="13" t="s">
        <v>42</v>
      </c>
      <c r="V470" s="43" t="s">
        <v>43</v>
      </c>
      <c r="W470" s="10">
        <f>'[1]V, inciso p) (OP)'!AM242</f>
        <v>43031</v>
      </c>
      <c r="X470" s="10">
        <f>'[1]V, inciso p) (OP)'!AN242</f>
        <v>43106</v>
      </c>
      <c r="Y470" s="7" t="s">
        <v>331</v>
      </c>
      <c r="Z470" s="7" t="s">
        <v>332</v>
      </c>
      <c r="AA470" s="7" t="s">
        <v>116</v>
      </c>
      <c r="AB470" s="21" t="s">
        <v>2699</v>
      </c>
      <c r="AC470" s="6" t="s">
        <v>2438</v>
      </c>
      <c r="AD470" s="6"/>
    </row>
    <row r="471" spans="1:30" ht="69.95" customHeight="1">
      <c r="A471" s="34">
        <v>192</v>
      </c>
      <c r="B471" s="7">
        <v>2017</v>
      </c>
      <c r="C471" s="6" t="str">
        <f>'[1]V, inciso p) (OP)'!B243</f>
        <v>Licitación Pública</v>
      </c>
      <c r="D471" s="6" t="str">
        <f>'[1]V, inciso p) (OP)'!D243</f>
        <v>DOPI-MUN-CUSMAX-IU-LP-192-2017</v>
      </c>
      <c r="E471" s="10">
        <f>'[1]V, inciso p) (OP)'!AD243</f>
        <v>43047</v>
      </c>
      <c r="F471" s="6" t="str">
        <f>'[1]V, inciso p) (OP)'!AL243</f>
        <v>Construcción de Plazoleta sobre Av. Virreyes, Zona Comercial Landmark-Andares, zona Andares, primera etapa: losas de cubierta, ductería eléctrica, ajuste de geometría, adecuaciones hidrosanitarias y pluviales, municipio de Zapopan, Jalisco.</v>
      </c>
      <c r="G471" s="6" t="s">
        <v>3332</v>
      </c>
      <c r="H471" s="25">
        <v>7907007.4600000009</v>
      </c>
      <c r="I471" s="6" t="str">
        <f>'[1]V, inciso p) (OP)'!AS243</f>
        <v>Zona Andares</v>
      </c>
      <c r="J471" s="6" t="str">
        <f>'[1]V, inciso p) (OP)'!T243</f>
        <v>EDWIN</v>
      </c>
      <c r="K471" s="6" t="str">
        <f>'[1]V, inciso p) (OP)'!U243</f>
        <v>AGUIAR</v>
      </c>
      <c r="L471" s="6" t="str">
        <f>'[1]V, inciso p) (OP)'!V243</f>
        <v>ESCATEL</v>
      </c>
      <c r="M471" s="6" t="s">
        <v>2047</v>
      </c>
      <c r="N471" s="6" t="str">
        <f>'[1]V, inciso p) (OP)'!X243</f>
        <v>MUR090325P33</v>
      </c>
      <c r="O471" s="11">
        <f t="shared" si="10"/>
        <v>7907007.4600000009</v>
      </c>
      <c r="P471" s="11">
        <v>7895733.8000000007</v>
      </c>
      <c r="Q471" s="14" t="s">
        <v>957</v>
      </c>
      <c r="R471" s="15">
        <f>H471/3975</f>
        <v>1989.1842666666669</v>
      </c>
      <c r="S471" s="7" t="s">
        <v>41</v>
      </c>
      <c r="T471" s="12">
        <v>68952</v>
      </c>
      <c r="U471" s="13" t="s">
        <v>42</v>
      </c>
      <c r="V471" s="43" t="s">
        <v>43</v>
      </c>
      <c r="W471" s="10">
        <f>'[1]V, inciso p) (OP)'!AM243</f>
        <v>43047</v>
      </c>
      <c r="X471" s="10">
        <f>'[1]V, inciso p) (OP)'!AN243</f>
        <v>42801</v>
      </c>
      <c r="Y471" s="7" t="s">
        <v>958</v>
      </c>
      <c r="Z471" s="7" t="s">
        <v>959</v>
      </c>
      <c r="AA471" s="7" t="s">
        <v>861</v>
      </c>
      <c r="AB471" s="21" t="s">
        <v>1333</v>
      </c>
      <c r="AC471" s="6" t="s">
        <v>2438</v>
      </c>
      <c r="AD471" s="6"/>
    </row>
    <row r="472" spans="1:30" ht="69.95" customHeight="1">
      <c r="A472" s="34">
        <v>193</v>
      </c>
      <c r="B472" s="7">
        <v>2017</v>
      </c>
      <c r="C472" s="6" t="str">
        <f>'[1]V, inciso p) (OP)'!B244</f>
        <v>Licitación Pública</v>
      </c>
      <c r="D472" s="6" t="str">
        <f>'[1]V, inciso p) (OP)'!D244</f>
        <v>DOPI-MUN-CUSMAX-IU-LP-193-2017</v>
      </c>
      <c r="E472" s="10">
        <f>'[1]V, inciso p) (OP)'!AD244</f>
        <v>43047</v>
      </c>
      <c r="F472" s="6" t="str">
        <f>'[1]V, inciso p) (OP)'!AL244</f>
        <v>Construcción de Plazoleta sobre Av. Virreyes, Zona Comercial Landmark-Andares, zona Andares, segunda etapa: banquetas, accesibilidad, mobiliario urbano, iluminación y jardinería, municipio de Zapopan, Jalisco.</v>
      </c>
      <c r="G472" s="6" t="s">
        <v>3332</v>
      </c>
      <c r="H472" s="25">
        <v>10718277.309999999</v>
      </c>
      <c r="I472" s="6" t="str">
        <f>'[1]V, inciso p) (OP)'!AS244</f>
        <v>Zona Andares</v>
      </c>
      <c r="J472" s="6" t="str">
        <f>'[1]V, inciso p) (OP)'!T244</f>
        <v>JUAN JOSÉ</v>
      </c>
      <c r="K472" s="6" t="str">
        <f>'[1]V, inciso p) (OP)'!U244</f>
        <v>GUTIÉRREZ</v>
      </c>
      <c r="L472" s="6" t="str">
        <f>'[1]V, inciso p) (OP)'!V244</f>
        <v>CONTRERAS</v>
      </c>
      <c r="M472" s="6" t="s">
        <v>3158</v>
      </c>
      <c r="N472" s="6" t="str">
        <f>'[1]V, inciso p) (OP)'!X244</f>
        <v>RCO130920JX9</v>
      </c>
      <c r="O472" s="11">
        <f t="shared" si="10"/>
        <v>10718277.309999999</v>
      </c>
      <c r="P472" s="11">
        <v>10718276.609999999</v>
      </c>
      <c r="Q472" s="14" t="s">
        <v>960</v>
      </c>
      <c r="R472" s="15">
        <f>H472/1370</f>
        <v>7823.5600802919698</v>
      </c>
      <c r="S472" s="7" t="s">
        <v>41</v>
      </c>
      <c r="T472" s="12">
        <v>68952</v>
      </c>
      <c r="U472" s="13" t="s">
        <v>42</v>
      </c>
      <c r="V472" s="43" t="s">
        <v>43</v>
      </c>
      <c r="W472" s="10">
        <f>'[1]V, inciso p) (OP)'!AM244</f>
        <v>43047</v>
      </c>
      <c r="X472" s="10">
        <f>'[1]V, inciso p) (OP)'!AN244</f>
        <v>43166</v>
      </c>
      <c r="Y472" s="7" t="s">
        <v>958</v>
      </c>
      <c r="Z472" s="7" t="s">
        <v>959</v>
      </c>
      <c r="AA472" s="7" t="s">
        <v>861</v>
      </c>
      <c r="AB472" s="21" t="s">
        <v>1334</v>
      </c>
      <c r="AC472" s="6" t="s">
        <v>2438</v>
      </c>
      <c r="AD472" s="6"/>
    </row>
    <row r="473" spans="1:30" ht="69.95" customHeight="1">
      <c r="A473" s="34">
        <v>194</v>
      </c>
      <c r="B473" s="7">
        <v>2017</v>
      </c>
      <c r="C473" s="6" t="str">
        <f>'[1]V, inciso p) (OP)'!B245</f>
        <v>Licitación Pública</v>
      </c>
      <c r="D473" s="6" t="str">
        <f>'[1]V, inciso p) (OP)'!D245</f>
        <v>DOPI-MUN-CUSMAX-IU-LP-194-2017</v>
      </c>
      <c r="E473" s="10">
        <f>'[1]V, inciso p) (OP)'!AD245</f>
        <v>43047</v>
      </c>
      <c r="F473" s="6" t="str">
        <f>'[1]V, inciso p) (OP)'!AL245</f>
        <v>Sistema de retención y control de escurrimientos pluviales, Parque Novelistas, municipio de Zapopan, Jalisco.</v>
      </c>
      <c r="G473" s="6" t="s">
        <v>3332</v>
      </c>
      <c r="H473" s="25">
        <v>15663867.32</v>
      </c>
      <c r="I473" s="6" t="str">
        <f>'[1]V, inciso p) (OP)'!AS245</f>
        <v>Colonia Jardines Vallarta</v>
      </c>
      <c r="J473" s="6" t="str">
        <f>'[1]V, inciso p) (OP)'!T245</f>
        <v>ENRIQUE CHRISTIAN</v>
      </c>
      <c r="K473" s="6" t="str">
        <f>'[1]V, inciso p) (OP)'!U245</f>
        <v>ANSHIRO MINAKATA</v>
      </c>
      <c r="L473" s="6" t="str">
        <f>'[1]V, inciso p) (OP)'!V245</f>
        <v>MORENTIN</v>
      </c>
      <c r="M473" s="6" t="s">
        <v>3187</v>
      </c>
      <c r="N473" s="6" t="str">
        <f>'[1]V, inciso p) (OP)'!X245</f>
        <v>CMI110222AA0</v>
      </c>
      <c r="O473" s="11">
        <f t="shared" si="10"/>
        <v>15663867.32</v>
      </c>
      <c r="P473" s="11">
        <v>15663865.449999999</v>
      </c>
      <c r="Q473" s="14" t="s">
        <v>961</v>
      </c>
      <c r="R473" s="15">
        <f>H473/956.47</f>
        <v>16376.747122230703</v>
      </c>
      <c r="S473" s="7" t="s">
        <v>41</v>
      </c>
      <c r="T473" s="12">
        <v>1332272</v>
      </c>
      <c r="U473" s="13" t="s">
        <v>42</v>
      </c>
      <c r="V473" s="43" t="s">
        <v>43</v>
      </c>
      <c r="W473" s="10">
        <f>'[1]V, inciso p) (OP)'!AM245</f>
        <v>43047</v>
      </c>
      <c r="X473" s="10">
        <f>'[1]V, inciso p) (OP)'!AN245</f>
        <v>43166</v>
      </c>
      <c r="Y473" s="7" t="s">
        <v>317</v>
      </c>
      <c r="Z473" s="7" t="s">
        <v>191</v>
      </c>
      <c r="AA473" s="7" t="s">
        <v>192</v>
      </c>
      <c r="AB473" s="21" t="s">
        <v>1335</v>
      </c>
      <c r="AC473" s="6" t="s">
        <v>2438</v>
      </c>
      <c r="AD473" s="6"/>
    </row>
    <row r="474" spans="1:30" ht="69.95" customHeight="1">
      <c r="A474" s="34">
        <v>195</v>
      </c>
      <c r="B474" s="7">
        <v>2017</v>
      </c>
      <c r="C474" s="6" t="str">
        <f>'[1]V, inciso p) (OP)'!B246</f>
        <v>Licitación Pública</v>
      </c>
      <c r="D474" s="6" t="str">
        <f>'[1]V, inciso p) (OP)'!D246</f>
        <v>DOPI-MUN-CUSMAX-IS-LP-195-2017</v>
      </c>
      <c r="E474" s="10">
        <f>'[1]V, inciso p) (OP)'!AD246</f>
        <v>43047</v>
      </c>
      <c r="F474" s="6" t="str">
        <f>'[1]V, inciso p) (OP)'!AL246</f>
        <v>Construcción de Centro de Atención a niños con Autismo, municipio de Zapopan, Jalisco.</v>
      </c>
      <c r="G474" s="6" t="s">
        <v>3332</v>
      </c>
      <c r="H474" s="25">
        <v>5524911.4600000009</v>
      </c>
      <c r="I474" s="6" t="s">
        <v>2529</v>
      </c>
      <c r="J474" s="6" t="str">
        <f>'[1]V, inciso p) (OP)'!T246</f>
        <v>ARTURO</v>
      </c>
      <c r="K474" s="6" t="str">
        <f>'[1]V, inciso p) (OP)'!U246</f>
        <v>SARMIENTO</v>
      </c>
      <c r="L474" s="6" t="str">
        <f>'[1]V, inciso p) (OP)'!V246</f>
        <v>SÁNCHEZ</v>
      </c>
      <c r="M474" s="6" t="s">
        <v>2068</v>
      </c>
      <c r="N474" s="6" t="str">
        <f>'[1]V, inciso p) (OP)'!X246</f>
        <v>CON020208696</v>
      </c>
      <c r="O474" s="11">
        <f t="shared" si="10"/>
        <v>5524911.4600000009</v>
      </c>
      <c r="P474" s="11">
        <v>5210303.9700000007</v>
      </c>
      <c r="Q474" s="14" t="s">
        <v>962</v>
      </c>
      <c r="R474" s="15">
        <f>H474/1941.61</f>
        <v>2845.5310077719014</v>
      </c>
      <c r="S474" s="7" t="s">
        <v>41</v>
      </c>
      <c r="T474" s="12">
        <v>29866</v>
      </c>
      <c r="U474" s="13" t="s">
        <v>42</v>
      </c>
      <c r="V474" s="43" t="s">
        <v>43</v>
      </c>
      <c r="W474" s="10">
        <f>'[1]V, inciso p) (OP)'!AM246</f>
        <v>43047</v>
      </c>
      <c r="X474" s="10">
        <f>'[1]V, inciso p) (OP)'!AN246</f>
        <v>43137</v>
      </c>
      <c r="Y474" s="7" t="s">
        <v>599</v>
      </c>
      <c r="Z474" s="7" t="s">
        <v>307</v>
      </c>
      <c r="AA474" s="7" t="s">
        <v>61</v>
      </c>
      <c r="AB474" s="21" t="s">
        <v>1336</v>
      </c>
      <c r="AC474" s="6" t="s">
        <v>2438</v>
      </c>
      <c r="AD474" s="6"/>
    </row>
    <row r="475" spans="1:30" ht="69.95" customHeight="1">
      <c r="A475" s="34">
        <v>197</v>
      </c>
      <c r="B475" s="7">
        <v>2017</v>
      </c>
      <c r="C475" s="6" t="str">
        <f>'[1]V, inciso p) (OP)'!B247</f>
        <v>Concurso por Invitación</v>
      </c>
      <c r="D475" s="6" t="str">
        <f>'[1]V, inciso p) (OP)'!D247</f>
        <v>DOPI-EST-CR-BAN-CI-197-2017</v>
      </c>
      <c r="E475" s="10">
        <f>'[1]V, inciso p) (OP)'!AD247</f>
        <v>43031</v>
      </c>
      <c r="F475" s="6" t="str">
        <f>'[1]V, inciso p) (OP)'!AL247</f>
        <v>Peatonalización, construcción de banquetas, sustitución de guarniciones, bolardos, primera etapa en la colonia Santa Margarita, municipio de Zapopan, Jalisco.</v>
      </c>
      <c r="G475" s="6" t="s">
        <v>3315</v>
      </c>
      <c r="H475" s="25">
        <v>2389794.62</v>
      </c>
      <c r="I475" s="6" t="str">
        <f>'[1]V, inciso p) (OP)'!AS247</f>
        <v>Colonia Santa Margarita</v>
      </c>
      <c r="J475" s="6" t="str">
        <f>'[1]V, inciso p) (OP)'!T247</f>
        <v>JESÚS DAVID</v>
      </c>
      <c r="K475" s="6" t="str">
        <f>'[1]V, inciso p) (OP)'!U247</f>
        <v xml:space="preserve">GARZA </v>
      </c>
      <c r="L475" s="6" t="str">
        <f>'[1]V, inciso p) (OP)'!V247</f>
        <v>GARCÍA</v>
      </c>
      <c r="M475" s="6" t="s">
        <v>3188</v>
      </c>
      <c r="N475" s="6" t="str">
        <f>'[1]V, inciso p) (OP)'!X247</f>
        <v>CEA010615GT0</v>
      </c>
      <c r="O475" s="11">
        <f t="shared" si="10"/>
        <v>2389794.62</v>
      </c>
      <c r="P475" s="11">
        <v>2389794.62</v>
      </c>
      <c r="Q475" s="14" t="s">
        <v>963</v>
      </c>
      <c r="R475" s="15">
        <f>O475/1461</f>
        <v>1635.7252703627653</v>
      </c>
      <c r="S475" s="7" t="s">
        <v>41</v>
      </c>
      <c r="T475" s="12">
        <v>859</v>
      </c>
      <c r="U475" s="13" t="s">
        <v>42</v>
      </c>
      <c r="V475" s="7" t="s">
        <v>43</v>
      </c>
      <c r="W475" s="10">
        <f>'[1]V, inciso p) (OP)'!AM247</f>
        <v>43031</v>
      </c>
      <c r="X475" s="10">
        <f>'[1]V, inciso p) (OP)'!AN247</f>
        <v>43106</v>
      </c>
      <c r="Y475" s="7" t="s">
        <v>603</v>
      </c>
      <c r="Z475" s="7" t="s">
        <v>123</v>
      </c>
      <c r="AA475" s="7" t="s">
        <v>928</v>
      </c>
      <c r="AB475" s="21" t="s">
        <v>2700</v>
      </c>
      <c r="AC475" s="6" t="s">
        <v>2438</v>
      </c>
      <c r="AD475" s="7"/>
    </row>
    <row r="476" spans="1:30" ht="69.95" customHeight="1">
      <c r="A476" s="34">
        <v>198</v>
      </c>
      <c r="B476" s="7">
        <v>2017</v>
      </c>
      <c r="C476" s="6" t="str">
        <f>'[1]V, inciso p) (OP)'!B248</f>
        <v>Concurso por Invitación</v>
      </c>
      <c r="D476" s="6" t="str">
        <f>'[1]V, inciso p) (OP)'!D248</f>
        <v>DOPI-EST-CR-PAV-CI-198-2017</v>
      </c>
      <c r="E476" s="10">
        <f>'[1]V, inciso p) (OP)'!AD248</f>
        <v>43031</v>
      </c>
      <c r="F476" s="6" t="str">
        <f>'[1]V, inciso p) (OP)'!AL248</f>
        <v>Reencarpetamiento de calles en la colonia Lomas de Tabachines, incluye: guarniciones, banquetas, renivelación de pozos y cajas, señalamiento vertical y horizontal, municipio de Zapopan, Jalisco.</v>
      </c>
      <c r="G476" s="6" t="s">
        <v>3315</v>
      </c>
      <c r="H476" s="25">
        <v>2436115.7999999998</v>
      </c>
      <c r="I476" s="6" t="str">
        <f>'[1]V, inciso p) (OP)'!AS248</f>
        <v>Colonia Lomas de Tabachines</v>
      </c>
      <c r="J476" s="6" t="str">
        <f>'[1]V, inciso p) (OP)'!T248</f>
        <v>VICTOR</v>
      </c>
      <c r="K476" s="6" t="str">
        <f>'[1]V, inciso p) (OP)'!U248</f>
        <v>ZAYAS</v>
      </c>
      <c r="L476" s="6" t="str">
        <f>'[1]V, inciso p) (OP)'!V248</f>
        <v>RIQUELME</v>
      </c>
      <c r="M476" s="6" t="s">
        <v>1892</v>
      </c>
      <c r="N476" s="6" t="str">
        <f>'[1]V, inciso p) (OP)'!X248</f>
        <v>GIC810323RA6</v>
      </c>
      <c r="O476" s="11">
        <f t="shared" si="10"/>
        <v>2436115.7999999998</v>
      </c>
      <c r="P476" s="11">
        <v>2436115.7999999998</v>
      </c>
      <c r="Q476" s="14" t="s">
        <v>964</v>
      </c>
      <c r="R476" s="15">
        <f>O476/870</f>
        <v>2800.1331034482755</v>
      </c>
      <c r="S476" s="7" t="s">
        <v>41</v>
      </c>
      <c r="T476" s="12">
        <v>2115</v>
      </c>
      <c r="U476" s="13" t="s">
        <v>42</v>
      </c>
      <c r="V476" s="7" t="s">
        <v>43</v>
      </c>
      <c r="W476" s="10">
        <f>'[1]V, inciso p) (OP)'!AM248</f>
        <v>43031</v>
      </c>
      <c r="X476" s="10">
        <f>'[1]V, inciso p) (OP)'!AN248</f>
        <v>43106</v>
      </c>
      <c r="Y476" s="7" t="s">
        <v>462</v>
      </c>
      <c r="Z476" s="7" t="s">
        <v>310</v>
      </c>
      <c r="AA476" s="7" t="s">
        <v>130</v>
      </c>
      <c r="AB476" s="21" t="s">
        <v>2701</v>
      </c>
      <c r="AC476" s="6" t="s">
        <v>2438</v>
      </c>
      <c r="AD476" s="7"/>
    </row>
    <row r="477" spans="1:30" ht="69.95" customHeight="1">
      <c r="A477" s="34">
        <v>199</v>
      </c>
      <c r="B477" s="7">
        <v>2017</v>
      </c>
      <c r="C477" s="6" t="str">
        <f>'[1]V, inciso p) (OP)'!B249</f>
        <v>Concurso por Invitación</v>
      </c>
      <c r="D477" s="6" t="str">
        <f>'[1]V, inciso p) (OP)'!D249</f>
        <v>DOPI-EST-CR-PAV-CI-199-2017</v>
      </c>
      <c r="E477" s="10">
        <f>'[1]V, inciso p) (OP)'!AD249</f>
        <v>43031</v>
      </c>
      <c r="F477" s="6" t="str">
        <f>'[1]V, inciso p) (OP)'!AL249</f>
        <v>Reencarpetamiento de vialidades en la colonia Parque del Auditorio, incluye: guarniciones, banquetas, renivelaciones de pozos y cajas, señalamiento vertical y horizontal, municipio de Zapopan, Jalisco.</v>
      </c>
      <c r="G477" s="6" t="s">
        <v>3315</v>
      </c>
      <c r="H477" s="25">
        <v>3601466.96</v>
      </c>
      <c r="I477" s="6" t="str">
        <f>'[1]V, inciso p) (OP)'!AS249</f>
        <v>Colonia Parque del Auditorio</v>
      </c>
      <c r="J477" s="6" t="str">
        <f>'[1]V, inciso p) (OP)'!T249</f>
        <v>GUILLERMO</v>
      </c>
      <c r="K477" s="6" t="str">
        <f>'[1]V, inciso p) (OP)'!U249</f>
        <v>LARA</v>
      </c>
      <c r="L477" s="6" t="str">
        <f>'[1]V, inciso p) (OP)'!V249</f>
        <v>VARGAS</v>
      </c>
      <c r="M477" s="6" t="s">
        <v>2243</v>
      </c>
      <c r="N477" s="6" t="str">
        <f>'[1]V, inciso p) (OP)'!X249</f>
        <v>DGL060620SUA</v>
      </c>
      <c r="O477" s="11">
        <f t="shared" si="10"/>
        <v>3601466.96</v>
      </c>
      <c r="P477" s="11">
        <v>3595761.01</v>
      </c>
      <c r="Q477" s="14" t="s">
        <v>965</v>
      </c>
      <c r="R477" s="15">
        <f>O477/115</f>
        <v>31317.103999999999</v>
      </c>
      <c r="S477" s="7" t="s">
        <v>41</v>
      </c>
      <c r="T477" s="12">
        <v>562</v>
      </c>
      <c r="U477" s="13" t="s">
        <v>42</v>
      </c>
      <c r="V477" s="43" t="s">
        <v>43</v>
      </c>
      <c r="W477" s="10">
        <f>'[1]V, inciso p) (OP)'!AM249</f>
        <v>43031</v>
      </c>
      <c r="X477" s="10">
        <f>'[1]V, inciso p) (OP)'!AN249</f>
        <v>43106</v>
      </c>
      <c r="Y477" s="7" t="s">
        <v>462</v>
      </c>
      <c r="Z477" s="7" t="s">
        <v>310</v>
      </c>
      <c r="AA477" s="7" t="s">
        <v>130</v>
      </c>
      <c r="AB477" s="21" t="s">
        <v>2702</v>
      </c>
      <c r="AC477" s="6" t="s">
        <v>2438</v>
      </c>
      <c r="AD477" s="6"/>
    </row>
    <row r="478" spans="1:30" ht="69.95" customHeight="1">
      <c r="A478" s="34">
        <v>200</v>
      </c>
      <c r="B478" s="7">
        <v>2017</v>
      </c>
      <c r="C478" s="6" t="str">
        <f>'[1]V, inciso p) (OP)'!B250</f>
        <v>Concurso por Invitación</v>
      </c>
      <c r="D478" s="6" t="str">
        <f>'[1]V, inciso p) (OP)'!D250</f>
        <v>DOPI-EST-CR-PAV-CI-200-2017</v>
      </c>
      <c r="E478" s="10">
        <f>'[1]V, inciso p) (OP)'!AD250</f>
        <v>43031</v>
      </c>
      <c r="F478" s="6" t="str">
        <f>'[1]V, inciso p) (OP)'!AL250</f>
        <v>Construcción de la segunda etapa de la calle Hidalgo, con concreto hidráulico en San Juan de Ocotán, incluye: guarniciones, banquetas y alumbrado público, Municipio de Zapopan, Jalisco.</v>
      </c>
      <c r="G478" s="6" t="s">
        <v>3315</v>
      </c>
      <c r="H478" s="25">
        <v>2877141.05</v>
      </c>
      <c r="I478" s="6" t="str">
        <f>'[1]V, inciso p) (OP)'!AS250</f>
        <v>San Juan de Ocotán</v>
      </c>
      <c r="J478" s="6" t="str">
        <f>'[1]V, inciso p) (OP)'!T250</f>
        <v>SERGIO ALBERTO</v>
      </c>
      <c r="K478" s="6" t="str">
        <f>'[1]V, inciso p) (OP)'!U250</f>
        <v>BAYLON</v>
      </c>
      <c r="L478" s="6" t="str">
        <f>'[1]V, inciso p) (OP)'!V250</f>
        <v>MORENO</v>
      </c>
      <c r="M478" s="6" t="s">
        <v>1683</v>
      </c>
      <c r="N478" s="6" t="str">
        <f>'[1]V, inciso p) (OP)'!X250</f>
        <v>EEC9909173A7</v>
      </c>
      <c r="O478" s="11">
        <f t="shared" si="10"/>
        <v>2877141.05</v>
      </c>
      <c r="P478" s="11">
        <v>2877038.6500000004</v>
      </c>
      <c r="Q478" s="14" t="s">
        <v>966</v>
      </c>
      <c r="R478" s="15">
        <f>O478/919</f>
        <v>3130.7301958650705</v>
      </c>
      <c r="S478" s="7" t="s">
        <v>41</v>
      </c>
      <c r="T478" s="12">
        <v>895</v>
      </c>
      <c r="U478" s="13" t="s">
        <v>42</v>
      </c>
      <c r="V478" s="43" t="s">
        <v>43</v>
      </c>
      <c r="W478" s="10">
        <f>'[1]V, inciso p) (OP)'!AM250</f>
        <v>43031</v>
      </c>
      <c r="X478" s="10">
        <f>'[1]V, inciso p) (OP)'!AN250</f>
        <v>43106</v>
      </c>
      <c r="Y478" s="7" t="s">
        <v>317</v>
      </c>
      <c r="Z478" s="7" t="s">
        <v>191</v>
      </c>
      <c r="AA478" s="7" t="s">
        <v>192</v>
      </c>
      <c r="AB478" s="21" t="s">
        <v>2703</v>
      </c>
      <c r="AC478" s="6" t="s">
        <v>2438</v>
      </c>
      <c r="AD478" s="6"/>
    </row>
    <row r="479" spans="1:30" ht="69.95" customHeight="1">
      <c r="A479" s="34">
        <v>201</v>
      </c>
      <c r="B479" s="7">
        <v>2017</v>
      </c>
      <c r="C479" s="6" t="str">
        <f>'[1]V, inciso p) (OP)'!B251</f>
        <v>Concurso por Invitación</v>
      </c>
      <c r="D479" s="6" t="str">
        <f>'[1]V, inciso p) (OP)'!D251</f>
        <v>DOPI-EST-CM-PAV-CI-201-2017</v>
      </c>
      <c r="E479" s="10">
        <f>'[1]V, inciso p) (OP)'!AD251</f>
        <v>43031</v>
      </c>
      <c r="F479" s="6" t="str">
        <f>'[1]V, inciso p) (OP)'!AL251</f>
        <v>Renovación urbana en área habitacional y de zona comercial de Av. López Mateos, de las Águilas a Plaza del Sol, en el municipio de Zapopan, Jalisco.</v>
      </c>
      <c r="G479" s="6" t="s">
        <v>3329</v>
      </c>
      <c r="H479" s="25">
        <v>3799523.95</v>
      </c>
      <c r="I479" s="6" t="str">
        <f>'[1]V, inciso p) (OP)'!AS251</f>
        <v>Colonia Las Águilas</v>
      </c>
      <c r="J479" s="6" t="str">
        <f>'[1]V, inciso p) (OP)'!T251</f>
        <v>ANA KARINA</v>
      </c>
      <c r="K479" s="6" t="str">
        <f>'[1]V, inciso p) (OP)'!U251</f>
        <v>OJEDA</v>
      </c>
      <c r="L479" s="6" t="str">
        <f>'[1]V, inciso p) (OP)'!V251</f>
        <v>FERRELL</v>
      </c>
      <c r="M479" s="6" t="s">
        <v>3189</v>
      </c>
      <c r="N479" s="6" t="str">
        <f>'[1]V, inciso p) (OP)'!X251</f>
        <v>KCI120928CD5</v>
      </c>
      <c r="O479" s="11">
        <f t="shared" si="10"/>
        <v>3799523.95</v>
      </c>
      <c r="P479" s="11">
        <v>3799523.9300000006</v>
      </c>
      <c r="Q479" s="14" t="s">
        <v>967</v>
      </c>
      <c r="R479" s="15">
        <f>O479/2673</f>
        <v>1421.4455480733259</v>
      </c>
      <c r="S479" s="7" t="s">
        <v>41</v>
      </c>
      <c r="T479" s="12">
        <v>1332272</v>
      </c>
      <c r="U479" s="13" t="s">
        <v>42</v>
      </c>
      <c r="V479" s="7" t="s">
        <v>43</v>
      </c>
      <c r="W479" s="10">
        <f>'[1]V, inciso p) (OP)'!AM251</f>
        <v>43031</v>
      </c>
      <c r="X479" s="10">
        <f>'[1]V, inciso p) (OP)'!AN251</f>
        <v>43106</v>
      </c>
      <c r="Y479" s="7" t="s">
        <v>859</v>
      </c>
      <c r="Z479" s="7" t="s">
        <v>860</v>
      </c>
      <c r="AA479" s="7" t="s">
        <v>861</v>
      </c>
      <c r="AB479" s="21" t="s">
        <v>2704</v>
      </c>
      <c r="AC479" s="6" t="s">
        <v>2438</v>
      </c>
      <c r="AD479" s="7"/>
    </row>
    <row r="480" spans="1:30" ht="69.95" customHeight="1">
      <c r="A480" s="34">
        <v>203</v>
      </c>
      <c r="B480" s="7">
        <v>2017</v>
      </c>
      <c r="C480" s="6" t="str">
        <f>'[1]V, inciso p) (OP)'!B252</f>
        <v>Licitación Pública</v>
      </c>
      <c r="D480" s="6" t="str">
        <f>'[1]V, inciso p) (OP)'!D252</f>
        <v>DOPI-MUN-CUSMAX-IS-LP-203-2017</v>
      </c>
      <c r="E480" s="10">
        <f>'[1]V, inciso p) (OP)'!AD252</f>
        <v>43047</v>
      </c>
      <c r="F480" s="6" t="str">
        <f>'[1]V, inciso p) (OP)'!AL252</f>
        <v>Construcción de Alberca para Rehabilitación de niños con Fibrosis Muscular, municipio de Zapopan, Jalisco.</v>
      </c>
      <c r="G480" s="6" t="s">
        <v>3332</v>
      </c>
      <c r="H480" s="25">
        <v>19280189.670000002</v>
      </c>
      <c r="I480" s="6" t="s">
        <v>2535</v>
      </c>
      <c r="J480" s="6" t="str">
        <f>'[1]V, inciso p) (OP)'!T252</f>
        <v xml:space="preserve">EDUARDO </v>
      </c>
      <c r="K480" s="6" t="str">
        <f>'[1]V, inciso p) (OP)'!U252</f>
        <v>CRUZ</v>
      </c>
      <c r="L480" s="6" t="str">
        <f>'[1]V, inciso p) (OP)'!V252</f>
        <v>MOGUEL</v>
      </c>
      <c r="M480" s="6" t="s">
        <v>1941</v>
      </c>
      <c r="N480" s="6" t="str">
        <f>'[1]V, inciso p) (OP)'!X252</f>
        <v>BAL990803661</v>
      </c>
      <c r="O480" s="11">
        <f t="shared" si="10"/>
        <v>19280189.670000002</v>
      </c>
      <c r="P480" s="11">
        <v>17756005.550000001</v>
      </c>
      <c r="Q480" s="14" t="s">
        <v>968</v>
      </c>
      <c r="R480" s="15">
        <f>H480/2650</f>
        <v>7275.543271698114</v>
      </c>
      <c r="S480" s="7" t="s">
        <v>41</v>
      </c>
      <c r="T480" s="12">
        <v>21596</v>
      </c>
      <c r="U480" s="13" t="s">
        <v>42</v>
      </c>
      <c r="V480" s="43" t="s">
        <v>43</v>
      </c>
      <c r="W480" s="10">
        <f>'[1]V, inciso p) (OP)'!AM252</f>
        <v>43047</v>
      </c>
      <c r="X480" s="10">
        <f>'[1]V, inciso p) (OP)'!AN252</f>
        <v>43166</v>
      </c>
      <c r="Y480" s="7" t="s">
        <v>753</v>
      </c>
      <c r="Z480" s="7" t="s">
        <v>827</v>
      </c>
      <c r="AA480" s="7" t="s">
        <v>755</v>
      </c>
      <c r="AB480" s="21" t="s">
        <v>2705</v>
      </c>
      <c r="AC480" s="6" t="s">
        <v>2438</v>
      </c>
      <c r="AD480" s="6"/>
    </row>
    <row r="481" spans="1:30" ht="69.95" customHeight="1">
      <c r="A481" s="34">
        <v>204</v>
      </c>
      <c r="B481" s="7">
        <v>2017</v>
      </c>
      <c r="C481" s="7" t="s">
        <v>62</v>
      </c>
      <c r="D481" s="6" t="str">
        <f>'[1]V, inciso o) (OP)'!C238</f>
        <v>DOPI-MUN-CUSMAX-SER-AD-204-2017</v>
      </c>
      <c r="E481" s="10">
        <f>'[1]V, inciso o) (OP)'!V238</f>
        <v>43012</v>
      </c>
      <c r="F481" s="6" t="str">
        <f>'[1]V, inciso o) (OP)'!AA238</f>
        <v>Proyecto ejecutivo arquitectónico de la primera etapa de integración peatonal y paisaje de espacio público en la zona Andares, en el municipio de Zapopan, Jalisco.</v>
      </c>
      <c r="G481" s="6" t="s">
        <v>3332</v>
      </c>
      <c r="H481" s="25">
        <v>1498350.24</v>
      </c>
      <c r="I481" s="6" t="s">
        <v>2530</v>
      </c>
      <c r="J481" s="6" t="str">
        <f>'[1]V, inciso o) (OP)'!M238</f>
        <v xml:space="preserve">GERARDO </v>
      </c>
      <c r="K481" s="6" t="str">
        <f>'[1]V, inciso o) (OP)'!N238</f>
        <v>SÁNCHEZ</v>
      </c>
      <c r="L481" s="6" t="str">
        <f>'[1]V, inciso o) (OP)'!O238</f>
        <v>SENDRA</v>
      </c>
      <c r="M481" s="6" t="s">
        <v>3190</v>
      </c>
      <c r="N481" s="6" t="str">
        <f>'[1]V, inciso o) (OP)'!Q238</f>
        <v>EPI070531P51</v>
      </c>
      <c r="O481" s="11">
        <f t="shared" ref="O481:O544" si="11">H481</f>
        <v>1498350.24</v>
      </c>
      <c r="P481" s="11">
        <v>1498350.2399999998</v>
      </c>
      <c r="Q481" s="7" t="s">
        <v>499</v>
      </c>
      <c r="R481" s="11">
        <f>O481/1</f>
        <v>1498350.24</v>
      </c>
      <c r="S481" s="7" t="s">
        <v>121</v>
      </c>
      <c r="T481" s="12" t="s">
        <v>121</v>
      </c>
      <c r="U481" s="13" t="s">
        <v>42</v>
      </c>
      <c r="V481" s="43" t="s">
        <v>43</v>
      </c>
      <c r="W481" s="10">
        <f>'[1]V, inciso o) (OP)'!AD238</f>
        <v>43012</v>
      </c>
      <c r="X481" s="10">
        <f>'[1]V, inciso o) (OP)'!AE238</f>
        <v>43131</v>
      </c>
      <c r="Y481" s="7" t="s">
        <v>680</v>
      </c>
      <c r="Z481" s="7" t="s">
        <v>681</v>
      </c>
      <c r="AA481" s="7" t="s">
        <v>132</v>
      </c>
      <c r="AB481" s="21" t="s">
        <v>2706</v>
      </c>
      <c r="AC481" s="6" t="s">
        <v>2438</v>
      </c>
      <c r="AD481" s="6"/>
    </row>
    <row r="482" spans="1:30" ht="69.95" customHeight="1">
      <c r="A482" s="34">
        <v>205</v>
      </c>
      <c r="B482" s="7">
        <v>2017</v>
      </c>
      <c r="C482" s="7" t="s">
        <v>62</v>
      </c>
      <c r="D482" s="6" t="str">
        <f>'[1]V, inciso o) (OP)'!C239</f>
        <v>DOPI-MUN-RM-IS-AD-205-2017</v>
      </c>
      <c r="E482" s="10">
        <f>'[1]V, inciso o) (OP)'!V239</f>
        <v>42993</v>
      </c>
      <c r="F482" s="6" t="str">
        <f>'[1]V, inciso o) (OP)'!AA239</f>
        <v>Adecuación del área de urgencias y obra complementaria en la Cruz Verde Federalismo, municipio de Zapopan, Jalisco.</v>
      </c>
      <c r="G482" s="6" t="s">
        <v>63</v>
      </c>
      <c r="H482" s="25">
        <v>1570922.15</v>
      </c>
      <c r="I482" s="6" t="s">
        <v>969</v>
      </c>
      <c r="J482" s="6" t="str">
        <f>'[1]V, inciso o) (OP)'!M239</f>
        <v>JOSÉ DE JESÚS</v>
      </c>
      <c r="K482" s="6" t="str">
        <f>'[1]V, inciso o) (OP)'!N239</f>
        <v>ROMERO</v>
      </c>
      <c r="L482" s="6" t="str">
        <f>'[1]V, inciso o) (OP)'!O239</f>
        <v>GARCÍA</v>
      </c>
      <c r="M482" s="6" t="s">
        <v>1837</v>
      </c>
      <c r="N482" s="6" t="str">
        <f>'[1]V, inciso o) (OP)'!Q239</f>
        <v>URC160310857</v>
      </c>
      <c r="O482" s="11">
        <f t="shared" si="11"/>
        <v>1570922.15</v>
      </c>
      <c r="P482" s="11">
        <v>1462451.87</v>
      </c>
      <c r="Q482" s="7" t="s">
        <v>970</v>
      </c>
      <c r="R482" s="11">
        <f>O482/55</f>
        <v>28562.220909090909</v>
      </c>
      <c r="S482" s="7" t="s">
        <v>41</v>
      </c>
      <c r="T482" s="12">
        <v>1332272</v>
      </c>
      <c r="U482" s="13" t="s">
        <v>42</v>
      </c>
      <c r="V482" s="43" t="s">
        <v>43</v>
      </c>
      <c r="W482" s="10">
        <f>'[1]V, inciso o) (OP)'!AD239</f>
        <v>42996</v>
      </c>
      <c r="X482" s="10">
        <f>'[1]V, inciso o) (OP)'!AE239</f>
        <v>43049</v>
      </c>
      <c r="Y482" s="7" t="s">
        <v>859</v>
      </c>
      <c r="Z482" s="7" t="s">
        <v>860</v>
      </c>
      <c r="AA482" s="7" t="s">
        <v>861</v>
      </c>
      <c r="AB482" s="21" t="s">
        <v>1557</v>
      </c>
      <c r="AC482" s="6" t="s">
        <v>2438</v>
      </c>
      <c r="AD482" s="6"/>
    </row>
    <row r="483" spans="1:30" ht="69.95" customHeight="1">
      <c r="A483" s="34">
        <v>206</v>
      </c>
      <c r="B483" s="7">
        <v>2017</v>
      </c>
      <c r="C483" s="7" t="s">
        <v>62</v>
      </c>
      <c r="D483" s="6" t="str">
        <f>'[1]V, inciso o) (OP)'!C240</f>
        <v>DOPI-MUN-FORTA-PAV-AD-206-2017</v>
      </c>
      <c r="E483" s="10">
        <f>'[1]V, inciso o) (OP)'!V240</f>
        <v>42984</v>
      </c>
      <c r="F483" s="6" t="str">
        <f>'[1]V, inciso o) (OP)'!AA240</f>
        <v>Obra complementaria en la pavimentación de la calle Mármol, de calle Cantera al Arroyo y en la calle Obsidiana, de calle Ópalo a calle Coral, en la Colonia Pedregal de Zapopan (Loma del Pedregal), en Zapopan, Jalisco.</v>
      </c>
      <c r="G483" s="6" t="s">
        <v>3322</v>
      </c>
      <c r="H483" s="25">
        <v>585223.57999999996</v>
      </c>
      <c r="I483" s="6" t="s">
        <v>971</v>
      </c>
      <c r="J483" s="6" t="str">
        <f>'[1]V, inciso o) (OP)'!M240</f>
        <v>HUGO ARMANDO</v>
      </c>
      <c r="K483" s="6" t="str">
        <f>'[1]V, inciso o) (OP)'!N240</f>
        <v>PRIETO</v>
      </c>
      <c r="L483" s="6" t="str">
        <f>'[1]V, inciso o) (OP)'!O240</f>
        <v>JIMÉNEZ</v>
      </c>
      <c r="M483" s="6" t="s">
        <v>3191</v>
      </c>
      <c r="N483" s="6" t="str">
        <f>'[1]V, inciso o) (OP)'!Q240</f>
        <v>CRP870708I62</v>
      </c>
      <c r="O483" s="11">
        <f t="shared" si="11"/>
        <v>585223.57999999996</v>
      </c>
      <c r="P483" s="11">
        <v>585202.68999999994</v>
      </c>
      <c r="Q483" s="7" t="s">
        <v>972</v>
      </c>
      <c r="R483" s="11">
        <f>O483/176</f>
        <v>3325.133977272727</v>
      </c>
      <c r="S483" s="7" t="s">
        <v>41</v>
      </c>
      <c r="T483" s="12">
        <v>659</v>
      </c>
      <c r="U483" s="13" t="s">
        <v>42</v>
      </c>
      <c r="V483" s="7" t="s">
        <v>43</v>
      </c>
      <c r="W483" s="10">
        <f>'[1]V, inciso o) (OP)'!AD240</f>
        <v>42984</v>
      </c>
      <c r="X483" s="10">
        <f>'[1]V, inciso o) (OP)'!AE240</f>
        <v>43028</v>
      </c>
      <c r="Y483" s="7" t="s">
        <v>780</v>
      </c>
      <c r="Z483" s="7" t="s">
        <v>973</v>
      </c>
      <c r="AA483" s="7" t="s">
        <v>159</v>
      </c>
      <c r="AB483" s="21" t="s">
        <v>1558</v>
      </c>
      <c r="AC483" s="6" t="s">
        <v>2438</v>
      </c>
      <c r="AD483" s="6"/>
    </row>
    <row r="484" spans="1:30" ht="69.95" customHeight="1">
      <c r="A484" s="34">
        <v>207</v>
      </c>
      <c r="B484" s="7">
        <v>2017</v>
      </c>
      <c r="C484" s="7" t="s">
        <v>62</v>
      </c>
      <c r="D484" s="6" t="str">
        <f>'[1]V, inciso o) (OP)'!C241</f>
        <v>DOPI-MUN-R33R-AP-AD-207-2017</v>
      </c>
      <c r="E484" s="10">
        <f>'[1]V, inciso o) (OP)'!V241</f>
        <v>43005</v>
      </c>
      <c r="F484" s="6" t="str">
        <f>'[1]V, inciso o) (OP)'!AA241</f>
        <v>Construcción de red de agua potable del pozo El Trébol a la colonia La Agrícola, en Santa Ana Tepetitlan, Municipio de Zapopan, Jalisco.</v>
      </c>
      <c r="G484" s="6" t="s">
        <v>3326</v>
      </c>
      <c r="H484" s="25">
        <v>1203779.8</v>
      </c>
      <c r="I484" s="6" t="s">
        <v>974</v>
      </c>
      <c r="J484" s="6" t="str">
        <f>'[1]V, inciso o) (OP)'!M241</f>
        <v>ROBERTO</v>
      </c>
      <c r="K484" s="6" t="str">
        <f>'[1]V, inciso o) (OP)'!N241</f>
        <v>FLORES</v>
      </c>
      <c r="L484" s="6" t="str">
        <f>'[1]V, inciso o) (OP)'!O241</f>
        <v>ARREOLA</v>
      </c>
      <c r="M484" s="6" t="s">
        <v>3192</v>
      </c>
      <c r="N484" s="6" t="str">
        <f>'[1]V, inciso o) (OP)'!Q241</f>
        <v>ESC930617KW9</v>
      </c>
      <c r="O484" s="11">
        <f t="shared" si="11"/>
        <v>1203779.8</v>
      </c>
      <c r="P484" s="11">
        <v>1203779.79</v>
      </c>
      <c r="Q484" s="7" t="s">
        <v>975</v>
      </c>
      <c r="R484" s="11">
        <f>O484/365</f>
        <v>3298.0268493150688</v>
      </c>
      <c r="S484" s="7" t="s">
        <v>41</v>
      </c>
      <c r="T484" s="12">
        <v>455</v>
      </c>
      <c r="U484" s="13" t="s">
        <v>42</v>
      </c>
      <c r="V484" s="7" t="s">
        <v>43</v>
      </c>
      <c r="W484" s="10">
        <f>'[1]V, inciso o) (OP)'!AD241</f>
        <v>43005</v>
      </c>
      <c r="X484" s="10">
        <f>'[1]V, inciso o) (OP)'!AE241</f>
        <v>43084</v>
      </c>
      <c r="Y484" s="7" t="s">
        <v>976</v>
      </c>
      <c r="Z484" s="7" t="s">
        <v>796</v>
      </c>
      <c r="AA484" s="7" t="s">
        <v>977</v>
      </c>
      <c r="AB484" s="21" t="s">
        <v>1339</v>
      </c>
      <c r="AC484" s="6" t="s">
        <v>2438</v>
      </c>
      <c r="AD484" s="6"/>
    </row>
    <row r="485" spans="1:30" ht="69.95" customHeight="1">
      <c r="A485" s="34">
        <v>208</v>
      </c>
      <c r="B485" s="7">
        <v>2017</v>
      </c>
      <c r="C485" s="7" t="s">
        <v>62</v>
      </c>
      <c r="D485" s="6" t="str">
        <f>'[1]V, inciso o) (OP)'!C242</f>
        <v>DOPI-MUN-FORTA-CONT-AD-208-2017</v>
      </c>
      <c r="E485" s="10">
        <f>'[1]V, inciso o) (OP)'!V242</f>
        <v>43003</v>
      </c>
      <c r="F485" s="6" t="str">
        <f>'[1]V, inciso o) (OP)'!AA242</f>
        <v>Obra emergente para la reconstrucción de muro de contención en el arroyo seco en el tramo de la calle Michoacán a Privada Arroyo y en el tramo de la calle Guanajuato y Tlaxcala a calle Michoacán, en la colonia El Mante, Municipio de Zapopan, Jalisco.</v>
      </c>
      <c r="G485" s="6" t="s">
        <v>3322</v>
      </c>
      <c r="H485" s="25">
        <v>625674.23</v>
      </c>
      <c r="I485" s="6" t="s">
        <v>978</v>
      </c>
      <c r="J485" s="6" t="str">
        <f>'[1]V, inciso o) (OP)'!M242</f>
        <v>EMILIO MIGUEL</v>
      </c>
      <c r="K485" s="6" t="str">
        <f>'[1]V, inciso o) (OP)'!N242</f>
        <v>ZULOAGA</v>
      </c>
      <c r="L485" s="6" t="str">
        <f>'[1]V, inciso o) (OP)'!O242</f>
        <v>SAENZ</v>
      </c>
      <c r="M485" s="6" t="s">
        <v>2187</v>
      </c>
      <c r="N485" s="6" t="str">
        <f>'[1]V, inciso o) (OP)'!Q242</f>
        <v>CSN150923FGA</v>
      </c>
      <c r="O485" s="11">
        <f t="shared" si="11"/>
        <v>625674.23</v>
      </c>
      <c r="P485" s="11">
        <v>318976.75</v>
      </c>
      <c r="Q485" s="7" t="s">
        <v>979</v>
      </c>
      <c r="R485" s="11">
        <f>O485/82</f>
        <v>7630.1735365853656</v>
      </c>
      <c r="S485" s="7" t="s">
        <v>41</v>
      </c>
      <c r="T485" s="12">
        <v>1523</v>
      </c>
      <c r="U485" s="13" t="s">
        <v>42</v>
      </c>
      <c r="V485" s="43" t="s">
        <v>43</v>
      </c>
      <c r="W485" s="10">
        <f>'[1]V, inciso o) (OP)'!AD242</f>
        <v>43004</v>
      </c>
      <c r="X485" s="10">
        <f>'[1]V, inciso o) (OP)'!AE242</f>
        <v>43034</v>
      </c>
      <c r="Y485" s="7" t="s">
        <v>431</v>
      </c>
      <c r="Z485" s="7" t="s">
        <v>181</v>
      </c>
      <c r="AA485" s="7" t="s">
        <v>89</v>
      </c>
      <c r="AB485" s="21" t="s">
        <v>1559</v>
      </c>
      <c r="AC485" s="6" t="s">
        <v>2438</v>
      </c>
      <c r="AD485" s="6"/>
    </row>
    <row r="486" spans="1:30" ht="69.95" customHeight="1">
      <c r="A486" s="34">
        <v>209</v>
      </c>
      <c r="B486" s="7">
        <v>2017</v>
      </c>
      <c r="C486" s="7" t="s">
        <v>62</v>
      </c>
      <c r="D486" s="6" t="str">
        <f>'[1]V, inciso o) (OP)'!C243</f>
        <v>DOPI-EST-CR-PAV-AD-209-2017</v>
      </c>
      <c r="E486" s="10">
        <f>'[1]V, inciso o) (OP)'!V243</f>
        <v>43005</v>
      </c>
      <c r="F486" s="6" t="str">
        <f>'[1]V, inciso o) (OP)'!AA243</f>
        <v>Construcción de la segunda etapa de la calle Juárez, de la calle 5 de Mayo a calle Primavera con concreto hidráulico en Santa Ana Tepetitlan, incluye: guarniciones, banquetas, red de agua potable, alcantarillado y alumbrado público, Municipio de Zapopan, Jalisco.</v>
      </c>
      <c r="G486" s="6" t="s">
        <v>3315</v>
      </c>
      <c r="H486" s="25">
        <v>940711.37</v>
      </c>
      <c r="I486" s="6" t="s">
        <v>276</v>
      </c>
      <c r="J486" s="6" t="str">
        <f>'[1]V, inciso o) (OP)'!M243</f>
        <v>J. JESÚS</v>
      </c>
      <c r="K486" s="6" t="str">
        <f>'[1]V, inciso o) (OP)'!N243</f>
        <v>CONTRERAS</v>
      </c>
      <c r="L486" s="6" t="str">
        <f>'[1]V, inciso o) (OP)'!O243</f>
        <v>VILLANUEVA</v>
      </c>
      <c r="M486" s="6" t="s">
        <v>2191</v>
      </c>
      <c r="N486" s="6" t="str">
        <f>'[1]V, inciso o) (OP)'!Q243</f>
        <v>CCO0404226D8</v>
      </c>
      <c r="O486" s="11">
        <f t="shared" si="11"/>
        <v>940711.37</v>
      </c>
      <c r="P486" s="11">
        <v>940711.36</v>
      </c>
      <c r="Q486" s="7" t="s">
        <v>980</v>
      </c>
      <c r="R486" s="11">
        <f>O486/297</f>
        <v>3167.3783501683502</v>
      </c>
      <c r="S486" s="7" t="s">
        <v>41</v>
      </c>
      <c r="T486" s="12">
        <v>528</v>
      </c>
      <c r="U486" s="13" t="s">
        <v>42</v>
      </c>
      <c r="V486" s="43" t="s">
        <v>43</v>
      </c>
      <c r="W486" s="10">
        <f>'[1]V, inciso o) (OP)'!AD243</f>
        <v>43006</v>
      </c>
      <c r="X486" s="10">
        <f>'[1]V, inciso o) (OP)'!AE243</f>
        <v>43069</v>
      </c>
      <c r="Y486" s="7" t="s">
        <v>722</v>
      </c>
      <c r="Z486" s="7" t="s">
        <v>231</v>
      </c>
      <c r="AA486" s="7" t="s">
        <v>143</v>
      </c>
      <c r="AB486" s="21" t="s">
        <v>1560</v>
      </c>
      <c r="AC486" s="6" t="s">
        <v>2438</v>
      </c>
      <c r="AD486" s="6"/>
    </row>
    <row r="487" spans="1:30" ht="69.95" customHeight="1">
      <c r="A487" s="34">
        <v>210</v>
      </c>
      <c r="B487" s="7">
        <v>2017</v>
      </c>
      <c r="C487" s="7" t="s">
        <v>62</v>
      </c>
      <c r="D487" s="6" t="str">
        <f>'[1]V, inciso o) (OP)'!C244</f>
        <v>DOPI-MUN-RM-PROY-AD-210-2017</v>
      </c>
      <c r="E487" s="10">
        <f>'[1]V, inciso o) (OP)'!V244</f>
        <v>42947</v>
      </c>
      <c r="F487" s="6" t="str">
        <f>'[1]V, inciso o) (OP)'!AA244</f>
        <v>Elaboración de proyecto ejecutivo para la rehabilitación del área infantil y del Parque Unidad de Manejo Ambiental Villa Fantasía, colonia Tepeyac, Municipio de Zapopan, Jalisco.</v>
      </c>
      <c r="G487" s="6" t="s">
        <v>63</v>
      </c>
      <c r="H487" s="25">
        <v>754115.28</v>
      </c>
      <c r="I487" s="6" t="s">
        <v>981</v>
      </c>
      <c r="J487" s="6" t="str">
        <f>'[1]V, inciso o) (OP)'!M244</f>
        <v xml:space="preserve">JUAN IGNACIO </v>
      </c>
      <c r="K487" s="6" t="str">
        <f>'[1]V, inciso o) (OP)'!N244</f>
        <v xml:space="preserve">MICHEL </v>
      </c>
      <c r="L487" s="6" t="str">
        <f>'[1]V, inciso o) (OP)'!O244</f>
        <v>ZEPEDA</v>
      </c>
      <c r="M487" s="6" t="s">
        <v>3193</v>
      </c>
      <c r="N487" s="6" t="str">
        <f>'[1]V, inciso o) (OP)'!Q244</f>
        <v>PCO051124BL2</v>
      </c>
      <c r="O487" s="11">
        <f t="shared" si="11"/>
        <v>754115.28</v>
      </c>
      <c r="P487" s="11">
        <v>754115.28</v>
      </c>
      <c r="Q487" s="7" t="s">
        <v>499</v>
      </c>
      <c r="R487" s="11">
        <f>O487/1</f>
        <v>754115.28</v>
      </c>
      <c r="S487" s="7" t="s">
        <v>121</v>
      </c>
      <c r="T487" s="12" t="s">
        <v>121</v>
      </c>
      <c r="U487" s="13" t="s">
        <v>42</v>
      </c>
      <c r="V487" s="7" t="s">
        <v>43</v>
      </c>
      <c r="W487" s="10">
        <f>'[1]V, inciso o) (OP)'!AD244</f>
        <v>42948</v>
      </c>
      <c r="X487" s="10">
        <f>'[1]V, inciso o) (OP)'!AE244</f>
        <v>43054</v>
      </c>
      <c r="Y487" s="7" t="s">
        <v>838</v>
      </c>
      <c r="Z487" s="7" t="s">
        <v>447</v>
      </c>
      <c r="AA487" s="7" t="s">
        <v>448</v>
      </c>
      <c r="AB487" s="21" t="s">
        <v>2707</v>
      </c>
      <c r="AC487" s="6" t="s">
        <v>2438</v>
      </c>
      <c r="AD487" s="6"/>
    </row>
    <row r="488" spans="1:30" ht="69.95" customHeight="1">
      <c r="A488" s="34">
        <v>211</v>
      </c>
      <c r="B488" s="7">
        <v>2017</v>
      </c>
      <c r="C488" s="7" t="s">
        <v>62</v>
      </c>
      <c r="D488" s="6" t="str">
        <f>'[1]V, inciso o) (OP)'!C245</f>
        <v>DOPI-MUN-R33R-ELE-AD-211-2017</v>
      </c>
      <c r="E488" s="10">
        <f>'[1]V, inciso o) (OP)'!V245</f>
        <v>43021</v>
      </c>
      <c r="F488" s="6" t="str">
        <f>'[1]V, inciso o) (OP)'!AA245</f>
        <v>Electrificación en las calles 1ra Norte, 2a Norte, 11a Poniente y 10a Poniente, colonia Jardines de Nuevo México, municipio de Zapopan, Jalisco.</v>
      </c>
      <c r="G488" s="6" t="s">
        <v>3326</v>
      </c>
      <c r="H488" s="25">
        <v>1496418.42</v>
      </c>
      <c r="I488" s="6" t="s">
        <v>79</v>
      </c>
      <c r="J488" s="6" t="str">
        <f>'[1]V, inciso o) (OP)'!M245</f>
        <v>JOSÉ DE JESÚS</v>
      </c>
      <c r="K488" s="6" t="str">
        <f>'[1]V, inciso o) (OP)'!N245</f>
        <v>MARQUEZ</v>
      </c>
      <c r="L488" s="6" t="str">
        <f>'[1]V, inciso o) (OP)'!O245</f>
        <v>ÁVILA</v>
      </c>
      <c r="M488" s="6" t="s">
        <v>3088</v>
      </c>
      <c r="N488" s="6" t="str">
        <f>'[1]V, inciso o) (OP)'!Q245</f>
        <v>FUT1110275V9</v>
      </c>
      <c r="O488" s="11">
        <f t="shared" si="11"/>
        <v>1496418.42</v>
      </c>
      <c r="P488" s="11">
        <v>1231175.1200000001</v>
      </c>
      <c r="Q488" s="7" t="s">
        <v>982</v>
      </c>
      <c r="R488" s="11">
        <f>O488/800</f>
        <v>1870.523025</v>
      </c>
      <c r="S488" s="7" t="s">
        <v>41</v>
      </c>
      <c r="T488" s="12">
        <v>423</v>
      </c>
      <c r="U488" s="13" t="s">
        <v>42</v>
      </c>
      <c r="V488" s="43" t="s">
        <v>43</v>
      </c>
      <c r="W488" s="10">
        <f>'[1]V, inciso o) (OP)'!AD245</f>
        <v>43024</v>
      </c>
      <c r="X488" s="10">
        <f>'[1]V, inciso o) (OP)'!AE245</f>
        <v>43084</v>
      </c>
      <c r="Y488" s="7" t="s">
        <v>402</v>
      </c>
      <c r="Z488" s="7" t="s">
        <v>296</v>
      </c>
      <c r="AA488" s="7" t="s">
        <v>508</v>
      </c>
      <c r="AB488" s="21" t="s">
        <v>1340</v>
      </c>
      <c r="AC488" s="6" t="s">
        <v>2438</v>
      </c>
      <c r="AD488" s="6"/>
    </row>
    <row r="489" spans="1:30" ht="69.95" customHeight="1">
      <c r="A489" s="34">
        <v>212</v>
      </c>
      <c r="B489" s="7">
        <v>2017</v>
      </c>
      <c r="C489" s="7" t="s">
        <v>62</v>
      </c>
      <c r="D489" s="6" t="str">
        <f>'[1]V, inciso o) (OP)'!C246</f>
        <v>DOPI-MUN-RM-MOV-AD-212-2017</v>
      </c>
      <c r="E489" s="10">
        <f>'[1]V, inciso o) (OP)'!V246</f>
        <v>43013</v>
      </c>
      <c r="F489" s="6" t="str">
        <f>'[1]V, inciso o) (OP)'!AA246</f>
        <v>Señalética horizontal-vertical y obra complementaria en la Prolongación Laureles de Av. Del Rodeo a Periférico Norte Manuel Gómez Morín, municipio de Zapopan, Jalisco.</v>
      </c>
      <c r="G489" s="6" t="s">
        <v>63</v>
      </c>
      <c r="H489" s="25">
        <v>591006.87</v>
      </c>
      <c r="I489" s="6" t="s">
        <v>983</v>
      </c>
      <c r="J489" s="6" t="str">
        <f>'[1]V, inciso o) (OP)'!M246</f>
        <v>ANTONIO</v>
      </c>
      <c r="K489" s="6" t="str">
        <f>'[1]V, inciso o) (OP)'!N246</f>
        <v>CARRILLO</v>
      </c>
      <c r="L489" s="6" t="str">
        <f>'[1]V, inciso o) (OP)'!O246</f>
        <v>SEGURA</v>
      </c>
      <c r="M489" s="6" t="s">
        <v>3194</v>
      </c>
      <c r="N489" s="6" t="str">
        <f>'[1]V, inciso o) (OP)'!Q246</f>
        <v>ITE080214UD3</v>
      </c>
      <c r="O489" s="11">
        <f t="shared" si="11"/>
        <v>591006.87</v>
      </c>
      <c r="P489" s="11">
        <v>590957.97</v>
      </c>
      <c r="Q489" s="7" t="s">
        <v>984</v>
      </c>
      <c r="R489" s="11">
        <f>O489/640</f>
        <v>923.44823437499997</v>
      </c>
      <c r="S489" s="7" t="s">
        <v>41</v>
      </c>
      <c r="T489" s="12">
        <v>2599</v>
      </c>
      <c r="U489" s="13" t="s">
        <v>42</v>
      </c>
      <c r="V489" s="43" t="s">
        <v>43</v>
      </c>
      <c r="W489" s="10">
        <f>'[1]V, inciso o) (OP)'!AD246</f>
        <v>43017</v>
      </c>
      <c r="X489" s="10">
        <f>'[1]V, inciso o) (OP)'!AE246</f>
        <v>43039</v>
      </c>
      <c r="Y489" s="7" t="s">
        <v>402</v>
      </c>
      <c r="Z489" s="7" t="s">
        <v>985</v>
      </c>
      <c r="AA489" s="7" t="s">
        <v>986</v>
      </c>
      <c r="AB489" s="21" t="s">
        <v>2303</v>
      </c>
      <c r="AC489" s="6" t="s">
        <v>2438</v>
      </c>
      <c r="AD489" s="6"/>
    </row>
    <row r="490" spans="1:30" ht="69.95" customHeight="1">
      <c r="A490" s="34">
        <v>213</v>
      </c>
      <c r="B490" s="7">
        <v>2017</v>
      </c>
      <c r="C490" s="7" t="s">
        <v>62</v>
      </c>
      <c r="D490" s="6" t="str">
        <f>'[1]V, inciso o) (OP)'!C247</f>
        <v>DOPI-EST-CR-PAV-AD-213-2017</v>
      </c>
      <c r="E490" s="10">
        <f>'[1]V, inciso o) (OP)'!V247</f>
        <v>43011</v>
      </c>
      <c r="F490" s="6" t="str">
        <f>'[1]V, inciso o) (OP)'!AA247</f>
        <v>Construcción de la primera etapa de la calle Elote de calle Chícharo a calle Chícharo con concreto hidráulico en la zona de la Mesa Colorada, incluye: guarniciones, banquetas, red de agua potable, alcantarillado y alumbrado público, municipio de Zapopan, Jalisco.</v>
      </c>
      <c r="G490" s="6" t="s">
        <v>3315</v>
      </c>
      <c r="H490" s="25">
        <v>889217.79</v>
      </c>
      <c r="I490" s="6" t="s">
        <v>987</v>
      </c>
      <c r="J490" s="6" t="str">
        <f>'[1]V, inciso o) (OP)'!M247</f>
        <v>FELIPE DANIEL II</v>
      </c>
      <c r="K490" s="6" t="str">
        <f>'[1]V, inciso o) (OP)'!N247</f>
        <v>NUÑEZ</v>
      </c>
      <c r="L490" s="6" t="str">
        <f>'[1]V, inciso o) (OP)'!O247</f>
        <v>PINZON</v>
      </c>
      <c r="M490" s="6" t="s">
        <v>1849</v>
      </c>
      <c r="N490" s="6" t="str">
        <f>'[1]V, inciso o) (OP)'!Q247</f>
        <v>GNU120809KX1</v>
      </c>
      <c r="O490" s="11">
        <f t="shared" si="11"/>
        <v>889217.79</v>
      </c>
      <c r="P490" s="11">
        <v>889217.79</v>
      </c>
      <c r="Q490" s="7" t="s">
        <v>988</v>
      </c>
      <c r="R490" s="11">
        <f>O490/489</f>
        <v>1818.4412883435584</v>
      </c>
      <c r="S490" s="7" t="s">
        <v>41</v>
      </c>
      <c r="T490" s="12">
        <v>257</v>
      </c>
      <c r="U490" s="13" t="s">
        <v>42</v>
      </c>
      <c r="V490" s="43" t="s">
        <v>43</v>
      </c>
      <c r="W490" s="10">
        <f>'[1]V, inciso o) (OP)'!AD247</f>
        <v>43018</v>
      </c>
      <c r="X490" s="10">
        <f>'[1]V, inciso o) (OP)'!AE247</f>
        <v>43084</v>
      </c>
      <c r="Y490" s="7" t="s">
        <v>431</v>
      </c>
      <c r="Z490" s="7" t="s">
        <v>181</v>
      </c>
      <c r="AA490" s="7" t="s">
        <v>89</v>
      </c>
      <c r="AB490" s="21" t="s">
        <v>1561</v>
      </c>
      <c r="AC490" s="6" t="s">
        <v>2438</v>
      </c>
      <c r="AD490" s="6"/>
    </row>
    <row r="491" spans="1:30" ht="69.95" customHeight="1">
      <c r="A491" s="34">
        <v>214</v>
      </c>
      <c r="B491" s="7">
        <v>2017</v>
      </c>
      <c r="C491" s="7" t="s">
        <v>62</v>
      </c>
      <c r="D491" s="6" t="str">
        <f>'[1]V, inciso o) (OP)'!C248</f>
        <v>DOPI-MUN-CUSMAX-PROY-AD-214-2017</v>
      </c>
      <c r="E491" s="10">
        <f>'[1]V, inciso o) (OP)'!V248</f>
        <v>43017</v>
      </c>
      <c r="F491" s="6" t="str">
        <f>'[1]V, inciso o) (OP)'!AA248</f>
        <v>Elaboración de proyectos arquitectónicos para diferentes obras del programa Cusmax 2017, frente 1, municipio de Zapopan, Jalisco.</v>
      </c>
      <c r="G491" s="6" t="s">
        <v>3332</v>
      </c>
      <c r="H491" s="25">
        <v>1394337.14</v>
      </c>
      <c r="I491" s="20" t="s">
        <v>2532</v>
      </c>
      <c r="J491" s="6" t="str">
        <f>'[1]V, inciso o) (OP)'!M248</f>
        <v xml:space="preserve">RODOLFO </v>
      </c>
      <c r="K491" s="6" t="str">
        <f>'[1]V, inciso o) (OP)'!N248</f>
        <v xml:space="preserve">VELAZQUEZ </v>
      </c>
      <c r="L491" s="6" t="str">
        <f>'[1]V, inciso o) (OP)'!O248</f>
        <v>ORDOÑEZ</v>
      </c>
      <c r="M491" s="6" t="s">
        <v>3065</v>
      </c>
      <c r="N491" s="6" t="str">
        <f>'[1]V, inciso o) (OP)'!Q248</f>
        <v>VIE110125RL4</v>
      </c>
      <c r="O491" s="11">
        <f t="shared" si="11"/>
        <v>1394337.14</v>
      </c>
      <c r="P491" s="11">
        <v>1394337.1385000001</v>
      </c>
      <c r="Q491" s="7" t="s">
        <v>499</v>
      </c>
      <c r="R491" s="11">
        <f>O491/1</f>
        <v>1394337.14</v>
      </c>
      <c r="S491" s="7" t="s">
        <v>121</v>
      </c>
      <c r="T491" s="12" t="s">
        <v>121</v>
      </c>
      <c r="U491" s="13" t="s">
        <v>42</v>
      </c>
      <c r="V491" s="43" t="s">
        <v>43</v>
      </c>
      <c r="W491" s="10">
        <f>'[1]V, inciso o) (OP)'!AD248</f>
        <v>43018</v>
      </c>
      <c r="X491" s="10">
        <f>'[1]V, inciso o) (OP)'!AE248</f>
        <v>43100</v>
      </c>
      <c r="Y491" s="7" t="s">
        <v>680</v>
      </c>
      <c r="Z491" s="7" t="s">
        <v>681</v>
      </c>
      <c r="AA491" s="7" t="s">
        <v>132</v>
      </c>
      <c r="AB491" s="21" t="s">
        <v>1562</v>
      </c>
      <c r="AC491" s="6" t="s">
        <v>2438</v>
      </c>
      <c r="AD491" s="6"/>
    </row>
    <row r="492" spans="1:30" ht="69.95" customHeight="1">
      <c r="A492" s="34">
        <v>215</v>
      </c>
      <c r="B492" s="7">
        <v>2017</v>
      </c>
      <c r="C492" s="7" t="s">
        <v>62</v>
      </c>
      <c r="D492" s="6" t="str">
        <f>'[1]V, inciso o) (OP)'!C249</f>
        <v>DOPI-MUN-RM-PROY-AD-215-2017</v>
      </c>
      <c r="E492" s="10">
        <f>'[1]V, inciso o) (OP)'!V249</f>
        <v>43017</v>
      </c>
      <c r="F492" s="32" t="str">
        <f>'[1]V, inciso o) (OP)'!AA249</f>
        <v>Elaboración de proyecto ejecutivo para la construcción del parque lineal constituyentes, proyecto arquitectónico para la rehabilitación de la vialidad Constituyentes en el tramo comprendido entre el Centro Cultural Constitución y la Glorieta Gusa, ubicados en la colonia Constitución municipio de Zapopan, Jalisco.</v>
      </c>
      <c r="G492" s="6" t="s">
        <v>63</v>
      </c>
      <c r="H492" s="25">
        <v>638122.43999999994</v>
      </c>
      <c r="I492" s="6" t="s">
        <v>468</v>
      </c>
      <c r="J492" s="6" t="str">
        <f>'[1]V, inciso o) (OP)'!M249</f>
        <v>ENRIQUE FRANCISCO</v>
      </c>
      <c r="K492" s="6" t="str">
        <f>'[1]V, inciso o) (OP)'!N249</f>
        <v>TOUSSAINT</v>
      </c>
      <c r="L492" s="6" t="str">
        <f>'[1]V, inciso o) (OP)'!O249</f>
        <v>OCHOA</v>
      </c>
      <c r="M492" s="6" t="s">
        <v>3045</v>
      </c>
      <c r="N492" s="6" t="str">
        <f>'[1]V, inciso o) (OP)'!Q249</f>
        <v>GAT920520R72</v>
      </c>
      <c r="O492" s="11">
        <f t="shared" si="11"/>
        <v>638122.43999999994</v>
      </c>
      <c r="P492" s="11">
        <v>638122.43999999994</v>
      </c>
      <c r="Q492" s="7" t="s">
        <v>499</v>
      </c>
      <c r="R492" s="11">
        <f>O492</f>
        <v>638122.43999999994</v>
      </c>
      <c r="S492" s="7" t="s">
        <v>121</v>
      </c>
      <c r="T492" s="12" t="s">
        <v>121</v>
      </c>
      <c r="U492" s="13" t="s">
        <v>42</v>
      </c>
      <c r="V492" s="43" t="s">
        <v>43</v>
      </c>
      <c r="W492" s="10">
        <f>'[1]V, inciso o) (OP)'!AD249</f>
        <v>43018</v>
      </c>
      <c r="X492" s="10">
        <f>'[1]V, inciso o) (OP)'!AE249</f>
        <v>43100</v>
      </c>
      <c r="Y492" s="7" t="s">
        <v>680</v>
      </c>
      <c r="Z492" s="7" t="s">
        <v>681</v>
      </c>
      <c r="AA492" s="7" t="s">
        <v>132</v>
      </c>
      <c r="AB492" s="21" t="s">
        <v>1563</v>
      </c>
      <c r="AC492" s="6" t="s">
        <v>2438</v>
      </c>
      <c r="AD492" s="6"/>
    </row>
    <row r="493" spans="1:30" ht="69.95" customHeight="1">
      <c r="A493" s="34">
        <v>216</v>
      </c>
      <c r="B493" s="7">
        <v>2017</v>
      </c>
      <c r="C493" s="6" t="str">
        <f>'[1]V, inciso p) (OP)'!B253</f>
        <v>Licitación por Invitación Restringida</v>
      </c>
      <c r="D493" s="6" t="str">
        <f>'[1]V, inciso p) (OP)'!D253</f>
        <v>DOPI-MUN-RM-PAV-CI-216-2017</v>
      </c>
      <c r="E493" s="10">
        <f>'[1]V, inciso p) (OP)'!AD253</f>
        <v>43047</v>
      </c>
      <c r="F493" s="32" t="str">
        <f>'[1]V, inciso p) (OP)'!AL253</f>
        <v>Pavimentación con concreto hidráulico de calle Ignacio Zaragoza, de calle Vicente Guerrero a calle Justo Sierra, incluye agua potable, drenaje, guarniciones, banquetas, servicios complementarios y señalética, en la colonia Agua Blanca Industrial, primera etapa, municipio de Zapopan, Jalisco.</v>
      </c>
      <c r="G493" s="6" t="s">
        <v>63</v>
      </c>
      <c r="H493" s="25">
        <v>1991192.71</v>
      </c>
      <c r="I493" s="6" t="str">
        <f>'[1]V, inciso p) (OP)'!AS253</f>
        <v>Colonia Agua Blanca</v>
      </c>
      <c r="J493" s="6" t="str">
        <f>'[1]V, inciso p) (OP)'!T253</f>
        <v>JUAN</v>
      </c>
      <c r="K493" s="6" t="str">
        <f>'[1]V, inciso p) (OP)'!U253</f>
        <v>PADILLA</v>
      </c>
      <c r="L493" s="6" t="str">
        <f>'[1]V, inciso p) (OP)'!V253</f>
        <v>AILHAUD</v>
      </c>
      <c r="M493" s="6" t="s">
        <v>3092</v>
      </c>
      <c r="N493" s="6" t="str">
        <f>'[1]V, inciso p) (OP)'!X253</f>
        <v>TCM0111148H5</v>
      </c>
      <c r="O493" s="11">
        <f t="shared" si="11"/>
        <v>1991192.71</v>
      </c>
      <c r="P493" s="11">
        <v>1565560</v>
      </c>
      <c r="Q493" s="14" t="s">
        <v>989</v>
      </c>
      <c r="R493" s="15">
        <f>H493/1051.32</f>
        <v>1893.9929897652476</v>
      </c>
      <c r="S493" s="7" t="s">
        <v>41</v>
      </c>
      <c r="T493" s="12">
        <v>12301</v>
      </c>
      <c r="U493" s="13" t="s">
        <v>42</v>
      </c>
      <c r="V493" s="43" t="s">
        <v>43</v>
      </c>
      <c r="W493" s="10">
        <f>'[1]V, inciso p) (OP)'!AM253</f>
        <v>43047</v>
      </c>
      <c r="X493" s="10">
        <f>'[1]V, inciso p) (OP)'!AN253</f>
        <v>43133</v>
      </c>
      <c r="Y493" s="7" t="s">
        <v>990</v>
      </c>
      <c r="Z493" s="7" t="s">
        <v>730</v>
      </c>
      <c r="AA493" s="7" t="s">
        <v>991</v>
      </c>
      <c r="AB493" s="21" t="s">
        <v>2708</v>
      </c>
      <c r="AC493" s="6" t="s">
        <v>2438</v>
      </c>
      <c r="AD493" s="6"/>
    </row>
    <row r="494" spans="1:30" ht="69.95" customHeight="1">
      <c r="A494" s="34">
        <v>217</v>
      </c>
      <c r="B494" s="7">
        <v>2017</v>
      </c>
      <c r="C494" s="6" t="str">
        <f>'[1]V, inciso p) (OP)'!B254</f>
        <v>Licitación por Invitación Restringida</v>
      </c>
      <c r="D494" s="6" t="str">
        <f>'[1]V, inciso p) (OP)'!D254</f>
        <v>DOPI-MUN-R33R-IH-CI-217-2017</v>
      </c>
      <c r="E494" s="10">
        <f>'[1]V, inciso p) (OP)'!AD254</f>
        <v>43047</v>
      </c>
      <c r="F494" s="32" t="str">
        <f>'[1]V, inciso p) (OP)'!AL254</f>
        <v>Construcción de red de drenaje en la calle Flor de Lirio de Flor de Orquídeas a Bugambilias, Calle Bugambilias de Flor de Lirio a Flor De Durazno y Calle Flor de Durazno de Bugambilias a Flor de Orquídeas, sobre el arroyo de calle Del Roble a Las Rosas y Calle Las Rosas de Jacarandas a Alcatraz en la colonia Lomas de la Primavera, municipio de Zapopan, Jalisco.</v>
      </c>
      <c r="G494" s="6" t="s">
        <v>3326</v>
      </c>
      <c r="H494" s="25">
        <v>2844117.16</v>
      </c>
      <c r="I494" s="6" t="str">
        <f>'[1]V, inciso p) (OP)'!AS254</f>
        <v>Colonia Lomas de la Primavera</v>
      </c>
      <c r="J494" s="6" t="str">
        <f>'[1]V, inciso p) (OP)'!T254</f>
        <v xml:space="preserve">NÉSTOR </v>
      </c>
      <c r="K494" s="6" t="str">
        <f>'[1]V, inciso p) (OP)'!U254</f>
        <v>DE LA TORRE</v>
      </c>
      <c r="L494" s="6" t="str">
        <f>'[1]V, inciso p) (OP)'!V254</f>
        <v>MENCHACA</v>
      </c>
      <c r="M494" s="6" t="s">
        <v>3139</v>
      </c>
      <c r="N494" s="6" t="str">
        <f>'[1]V, inciso p) (OP)'!X254</f>
        <v>ITO951005HY5</v>
      </c>
      <c r="O494" s="11">
        <f t="shared" si="11"/>
        <v>2844117.16</v>
      </c>
      <c r="P494" s="11">
        <v>2307937.48</v>
      </c>
      <c r="Q494" s="14" t="s">
        <v>992</v>
      </c>
      <c r="R494" s="15">
        <f>H494/985</f>
        <v>2887.4285888324875</v>
      </c>
      <c r="S494" s="7" t="s">
        <v>41</v>
      </c>
      <c r="T494" s="12">
        <v>389</v>
      </c>
      <c r="U494" s="13" t="s">
        <v>42</v>
      </c>
      <c r="V494" s="43" t="s">
        <v>43</v>
      </c>
      <c r="W494" s="10">
        <f>'[1]V, inciso p) (OP)'!AM254</f>
        <v>43047</v>
      </c>
      <c r="X494" s="10">
        <f>'[1]V, inciso p) (OP)'!AN254</f>
        <v>43102</v>
      </c>
      <c r="Y494" s="7" t="s">
        <v>722</v>
      </c>
      <c r="Z494" s="7" t="s">
        <v>231</v>
      </c>
      <c r="AA494" s="7" t="s">
        <v>143</v>
      </c>
      <c r="AB494" s="21" t="s">
        <v>1327</v>
      </c>
      <c r="AC494" s="6" t="s">
        <v>2438</v>
      </c>
      <c r="AD494" s="6"/>
    </row>
    <row r="495" spans="1:30" ht="69.95" customHeight="1">
      <c r="A495" s="34">
        <v>218</v>
      </c>
      <c r="B495" s="7">
        <v>2017</v>
      </c>
      <c r="C495" s="6" t="str">
        <f>'[1]V, inciso p) (OP)'!B255</f>
        <v>Licitación por Invitación Restringida</v>
      </c>
      <c r="D495" s="6" t="str">
        <f>'[1]V, inciso p) (OP)'!D255</f>
        <v>DOPI-MUN-RM-IM-CI-218-2017</v>
      </c>
      <c r="E495" s="10">
        <f>'[1]V, inciso p) (OP)'!AD255</f>
        <v>43047</v>
      </c>
      <c r="F495" s="6" t="str">
        <f>'[1]V, inciso p) (OP)'!AL255</f>
        <v>Construcción de puente peatonal en López Mateos Sur – El Campanario, municipio de Zapopan, Jalisco.</v>
      </c>
      <c r="G495" s="6" t="s">
        <v>63</v>
      </c>
      <c r="H495" s="25">
        <v>5263942.04</v>
      </c>
      <c r="I495" s="6" t="str">
        <f>'[1]V, inciso p) (OP)'!AS255</f>
        <v>Colonia El Campanario</v>
      </c>
      <c r="J495" s="6" t="str">
        <f>'[1]V, inciso p) (OP)'!T255</f>
        <v xml:space="preserve">EDUARDO </v>
      </c>
      <c r="K495" s="6" t="str">
        <f>'[1]V, inciso p) (OP)'!U255</f>
        <v>CORTES</v>
      </c>
      <c r="L495" s="6" t="str">
        <f>'[1]V, inciso p) (OP)'!V255</f>
        <v>ALARCON</v>
      </c>
      <c r="M495" s="6" t="s">
        <v>3195</v>
      </c>
      <c r="N495" s="6" t="str">
        <f>'[1]V, inciso p) (OP)'!X255</f>
        <v>DCO160318SK7</v>
      </c>
      <c r="O495" s="11">
        <f t="shared" si="11"/>
        <v>5263942.04</v>
      </c>
      <c r="P495" s="11">
        <v>4547178.4700000007</v>
      </c>
      <c r="Q495" s="14" t="s">
        <v>993</v>
      </c>
      <c r="R495" s="15">
        <f>H495/585.92</f>
        <v>8984.0627389404708</v>
      </c>
      <c r="S495" s="7" t="s">
        <v>41</v>
      </c>
      <c r="T495" s="12">
        <v>8563</v>
      </c>
      <c r="U495" s="13" t="s">
        <v>42</v>
      </c>
      <c r="V495" s="43" t="s">
        <v>43</v>
      </c>
      <c r="W495" s="10">
        <f>'[1]V, inciso p) (OP)'!AM255</f>
        <v>43047</v>
      </c>
      <c r="X495" s="10">
        <f>'[1]V, inciso p) (OP)'!AN255</f>
        <v>43133</v>
      </c>
      <c r="Y495" s="7" t="s">
        <v>722</v>
      </c>
      <c r="Z495" s="7" t="s">
        <v>231</v>
      </c>
      <c r="AA495" s="7" t="s">
        <v>143</v>
      </c>
      <c r="AB495" s="21" t="s">
        <v>2709</v>
      </c>
      <c r="AC495" s="6" t="s">
        <v>2438</v>
      </c>
      <c r="AD495" s="6"/>
    </row>
    <row r="496" spans="1:30" ht="69.95" customHeight="1">
      <c r="A496" s="34">
        <v>219</v>
      </c>
      <c r="B496" s="7">
        <v>2017</v>
      </c>
      <c r="C496" s="6" t="str">
        <f>'[1]V, inciso p) (OP)'!B256</f>
        <v>Licitación por Invitación Restringida</v>
      </c>
      <c r="D496" s="6" t="str">
        <f>'[1]V, inciso p) (OP)'!D256</f>
        <v>DOPI-MUN-FORTA-IM-CI-219-2017</v>
      </c>
      <c r="E496" s="10">
        <f>'[1]V, inciso p) (OP)'!AD256</f>
        <v>43047</v>
      </c>
      <c r="F496" s="6" t="str">
        <f>'[1]V, inciso p) (OP)'!AL256</f>
        <v>Obra complementaria en la rehabilitación de la Cruz Verde Las Águilas, ubicada en Av. López Mateos y calle Cruz del Sur, en la colonia Las Águilas, municipio de Zapopan, Jalisco.</v>
      </c>
      <c r="G496" s="6" t="s">
        <v>3322</v>
      </c>
      <c r="H496" s="25">
        <v>3035883.97</v>
      </c>
      <c r="I496" s="6" t="str">
        <f>'[1]V, inciso p) (OP)'!AS256</f>
        <v>Colonia Las Aguilas</v>
      </c>
      <c r="J496" s="6" t="str">
        <f>'[1]V, inciso p) (OP)'!T256</f>
        <v xml:space="preserve">EDUARDO </v>
      </c>
      <c r="K496" s="6" t="str">
        <f>'[1]V, inciso p) (OP)'!U256</f>
        <v>PLASCENCIA</v>
      </c>
      <c r="L496" s="6" t="str">
        <f>'[1]V, inciso p) (OP)'!V256</f>
        <v>MACIAS</v>
      </c>
      <c r="M496" s="6" t="s">
        <v>3079</v>
      </c>
      <c r="N496" s="6" t="str">
        <f>'[1]V, inciso p) (OP)'!X256</f>
        <v>CEP080129EK6</v>
      </c>
      <c r="O496" s="11">
        <f t="shared" si="11"/>
        <v>3035883.97</v>
      </c>
      <c r="P496" s="11">
        <v>3024298.5</v>
      </c>
      <c r="Q496" s="14" t="s">
        <v>994</v>
      </c>
      <c r="R496" s="15">
        <f>H496/1232</f>
        <v>2464.191534090909</v>
      </c>
      <c r="S496" s="7" t="s">
        <v>41</v>
      </c>
      <c r="T496" s="12">
        <v>1332272</v>
      </c>
      <c r="U496" s="13" t="s">
        <v>42</v>
      </c>
      <c r="V496" s="43" t="s">
        <v>43</v>
      </c>
      <c r="W496" s="10">
        <f>'[1]V, inciso p) (OP)'!AM256</f>
        <v>43047</v>
      </c>
      <c r="X496" s="10">
        <f>'[1]V, inciso p) (OP)'!AN256</f>
        <v>43133</v>
      </c>
      <c r="Y496" s="7" t="s">
        <v>958</v>
      </c>
      <c r="Z496" s="7" t="s">
        <v>959</v>
      </c>
      <c r="AA496" s="7" t="s">
        <v>861</v>
      </c>
      <c r="AB496" s="21" t="s">
        <v>2710</v>
      </c>
      <c r="AC496" s="6" t="s">
        <v>2438</v>
      </c>
      <c r="AD496" s="6"/>
    </row>
    <row r="497" spans="1:30" ht="69.95" customHeight="1">
      <c r="A497" s="34">
        <v>220</v>
      </c>
      <c r="B497" s="7">
        <v>2017</v>
      </c>
      <c r="C497" s="6" t="str">
        <f>'[1]V, inciso p) (OP)'!B257</f>
        <v>Licitación por Invitación Restringida</v>
      </c>
      <c r="D497" s="6" t="str">
        <f>'[1]V, inciso p) (OP)'!D257</f>
        <v>DOPI-MUN-CUSMAX-IE-CI-220-2017</v>
      </c>
      <c r="E497" s="10">
        <f>'[1]V, inciso p) (OP)'!AD257</f>
        <v>43047</v>
      </c>
      <c r="F497" s="32" t="str">
        <f>'[1]V, inciso p) (OP)'!AL257</f>
        <v>Estructuras con lonaria para protección de rayos ultravioleta, en Primaria Federal Calmecac Clave: 14DPR1367L, Escuela 1286, Francisco Urquizo Benavides Clave: 14EPR1612E y Secundaria mixta 85 José Rogelio Álvarez Clave: 14EES0100R, municipio de Zapopan, Jalisco.</v>
      </c>
      <c r="G497" s="6" t="s">
        <v>3332</v>
      </c>
      <c r="H497" s="25">
        <v>8017062.9100000001</v>
      </c>
      <c r="I497" s="6" t="s">
        <v>1317</v>
      </c>
      <c r="J497" s="6" t="str">
        <f>'[1]V, inciso p) (OP)'!T257</f>
        <v>JOSÉ ANTONIO</v>
      </c>
      <c r="K497" s="6" t="str">
        <f>'[1]V, inciso p) (OP)'!U257</f>
        <v>ÁLVAREZ</v>
      </c>
      <c r="L497" s="6" t="str">
        <f>'[1]V, inciso p) (OP)'!V257</f>
        <v>ZULOAGA</v>
      </c>
      <c r="M497" s="6" t="s">
        <v>1863</v>
      </c>
      <c r="N497" s="6" t="str">
        <f>'[1]V, inciso p) (OP)'!X257</f>
        <v>GDA150928286</v>
      </c>
      <c r="O497" s="11">
        <f t="shared" si="11"/>
        <v>8017062.9100000001</v>
      </c>
      <c r="P497" s="11">
        <v>8016422.2300000004</v>
      </c>
      <c r="Q497" s="14" t="s">
        <v>995</v>
      </c>
      <c r="R497" s="15">
        <f>H497/1435.29</f>
        <v>5585.6746093124038</v>
      </c>
      <c r="S497" s="7" t="s">
        <v>41</v>
      </c>
      <c r="T497" s="12">
        <v>2698</v>
      </c>
      <c r="U497" s="13" t="s">
        <v>42</v>
      </c>
      <c r="V497" s="43" t="s">
        <v>43</v>
      </c>
      <c r="W497" s="10">
        <f>'[1]V, inciso p) (OP)'!AM257</f>
        <v>43047</v>
      </c>
      <c r="X497" s="10">
        <f>'[1]V, inciso p) (OP)'!AN257</f>
        <v>43161</v>
      </c>
      <c r="Y497" s="7" t="s">
        <v>429</v>
      </c>
      <c r="Z497" s="7" t="s">
        <v>290</v>
      </c>
      <c r="AA497" s="7" t="s">
        <v>73</v>
      </c>
      <c r="AB497" s="21" t="s">
        <v>2711</v>
      </c>
      <c r="AC497" s="6" t="s">
        <v>2438</v>
      </c>
      <c r="AD497" s="6"/>
    </row>
    <row r="498" spans="1:30" ht="69.95" customHeight="1">
      <c r="A498" s="34">
        <v>221</v>
      </c>
      <c r="B498" s="7">
        <v>2017</v>
      </c>
      <c r="C498" s="6" t="str">
        <f>'[1]V, inciso p) (OP)'!B258</f>
        <v>Licitación por Invitación Restringida</v>
      </c>
      <c r="D498" s="6" t="str">
        <f>'[1]V, inciso p) (OP)'!D258</f>
        <v>DOPI-MUN-CUSMAX-IE-CI-221-2017</v>
      </c>
      <c r="E498" s="10">
        <f>'[1]V, inciso p) (OP)'!AD258</f>
        <v>43047</v>
      </c>
      <c r="F498" s="32" t="str">
        <f>'[1]V, inciso p) (OP)'!AL258</f>
        <v>Estructuras con lonaria para protección de rayos ultravioleta, en Escuela Ignacio Zaragoza, Clave: 14DPR1389X, Jardín de niños Socorro Jiménez Carrillo, Clave: 14DJN1978V y Escuela Urbana No. 1024 Ricardo Flores Magón, Clave: 14EPR1459A, municipio de Zapopan, Jalisco.</v>
      </c>
      <c r="G498" s="6" t="s">
        <v>3332</v>
      </c>
      <c r="H498" s="25">
        <v>5991380.2999999998</v>
      </c>
      <c r="I498" s="6" t="s">
        <v>1317</v>
      </c>
      <c r="J498" s="6" t="str">
        <f>'[1]V, inciso p) (OP)'!T258</f>
        <v>ARTURO</v>
      </c>
      <c r="K498" s="6" t="str">
        <f>'[1]V, inciso p) (OP)'!U258</f>
        <v>BOJORQUEZ</v>
      </c>
      <c r="L498" s="6" t="str">
        <f>'[1]V, inciso p) (OP)'!V258</f>
        <v>RIZO</v>
      </c>
      <c r="M498" s="6" t="s">
        <v>3196</v>
      </c>
      <c r="N498" s="6" t="str">
        <f>'[1]V, inciso p) (OP)'!X258</f>
        <v>ECL1301313F1</v>
      </c>
      <c r="O498" s="11">
        <f t="shared" si="11"/>
        <v>5991380.2999999998</v>
      </c>
      <c r="P498" s="11">
        <v>5877189.5600000005</v>
      </c>
      <c r="Q498" s="14" t="s">
        <v>996</v>
      </c>
      <c r="R498" s="15">
        <f>H498/1675.59</f>
        <v>3575.68396803514</v>
      </c>
      <c r="S498" s="7" t="s">
        <v>41</v>
      </c>
      <c r="T498" s="12">
        <v>2378</v>
      </c>
      <c r="U498" s="13" t="s">
        <v>42</v>
      </c>
      <c r="V498" s="43" t="s">
        <v>43</v>
      </c>
      <c r="W498" s="10">
        <f>'[1]V, inciso p) (OP)'!AM258</f>
        <v>43047</v>
      </c>
      <c r="X498" s="10">
        <f>'[1]V, inciso p) (OP)'!AN258</f>
        <v>43161</v>
      </c>
      <c r="Y498" s="7" t="s">
        <v>429</v>
      </c>
      <c r="Z498" s="7" t="s">
        <v>290</v>
      </c>
      <c r="AA498" s="7" t="s">
        <v>73</v>
      </c>
      <c r="AB498" s="21" t="s">
        <v>2712</v>
      </c>
      <c r="AC498" s="6" t="s">
        <v>2438</v>
      </c>
      <c r="AD498" s="6"/>
    </row>
    <row r="499" spans="1:30" ht="69.95" customHeight="1">
      <c r="A499" s="34">
        <v>222</v>
      </c>
      <c r="B499" s="7">
        <v>2017</v>
      </c>
      <c r="C499" s="6" t="str">
        <f>'[1]V, inciso p) (OP)'!B259</f>
        <v>Licitación por Invitación Restringida</v>
      </c>
      <c r="D499" s="6" t="str">
        <f>'[1]V, inciso p) (OP)'!D259</f>
        <v>DOPI-MUN-CUSMAX-IE-CI-222-2017</v>
      </c>
      <c r="E499" s="10">
        <f>'[1]V, inciso p) (OP)'!AD259</f>
        <v>43047</v>
      </c>
      <c r="F499" s="32" t="str">
        <f>'[1]V, inciso p) (OP)'!AL259</f>
        <v>Estructuras con lonaria para protección de rayos ultravioleta, en Escuela José María Arreola Y Manuel De Jesús Clouthier Del Rincón T/V, Clave: 14EPR1221Q, Secundaria Mixta No. 61 Francisco De Jesús Ayón Zester, Clave: 14EES0065B y Escuela Niños Héroes De Chapultepec, Clave: 14EPR1112J, municipio de Zapopan, Jalisco.</v>
      </c>
      <c r="G499" s="6" t="s">
        <v>3332</v>
      </c>
      <c r="H499" s="25">
        <v>5970323.4800000004</v>
      </c>
      <c r="I499" s="6" t="s">
        <v>1317</v>
      </c>
      <c r="J499" s="6" t="str">
        <f>'[1]V, inciso p) (OP)'!T259</f>
        <v xml:space="preserve">MARCO ANTONIO </v>
      </c>
      <c r="K499" s="6" t="str">
        <f>'[1]V, inciso p) (OP)'!U259</f>
        <v>LOZANO</v>
      </c>
      <c r="L499" s="6" t="str">
        <f>'[1]V, inciso p) (OP)'!V259</f>
        <v>ESTRADA</v>
      </c>
      <c r="M499" s="6" t="s">
        <v>3180</v>
      </c>
      <c r="N499" s="6" t="str">
        <f>'[1]V, inciso p) (OP)'!X259</f>
        <v>DFU090928JB5</v>
      </c>
      <c r="O499" s="11">
        <f t="shared" si="11"/>
        <v>5970323.4800000004</v>
      </c>
      <c r="P499" s="11">
        <v>5056464.3600000003</v>
      </c>
      <c r="Q499" s="14" t="s">
        <v>997</v>
      </c>
      <c r="R499" s="15">
        <f>H499/1023.75</f>
        <v>5831.8178070818076</v>
      </c>
      <c r="S499" s="7" t="s">
        <v>41</v>
      </c>
      <c r="T499" s="12">
        <v>1985</v>
      </c>
      <c r="U499" s="13" t="s">
        <v>42</v>
      </c>
      <c r="V499" s="43" t="s">
        <v>43</v>
      </c>
      <c r="W499" s="10">
        <f>'[1]V, inciso p) (OP)'!AM259</f>
        <v>43047</v>
      </c>
      <c r="X499" s="10">
        <f>'[1]V, inciso p) (OP)'!AN259</f>
        <v>43161</v>
      </c>
      <c r="Y499" s="7" t="s">
        <v>429</v>
      </c>
      <c r="Z499" s="7" t="s">
        <v>290</v>
      </c>
      <c r="AA499" s="7" t="s">
        <v>73</v>
      </c>
      <c r="AB499" s="21" t="s">
        <v>2713</v>
      </c>
      <c r="AC499" s="6" t="s">
        <v>2438</v>
      </c>
      <c r="AD499" s="6"/>
    </row>
    <row r="500" spans="1:30" ht="69.95" customHeight="1">
      <c r="A500" s="34">
        <v>224</v>
      </c>
      <c r="B500" s="7">
        <v>2017</v>
      </c>
      <c r="C500" s="6" t="str">
        <f>'[1]V, inciso p) (OP)'!B260</f>
        <v>Licitación por Invitación Restringida</v>
      </c>
      <c r="D500" s="6" t="str">
        <f>'[1]V, inciso p) (OP)'!D260</f>
        <v>DOPI-MUN-CUSMAX-DS-CI-224-2017</v>
      </c>
      <c r="E500" s="10">
        <f>'[1]V, inciso p) (OP)'!AD260</f>
        <v>43047</v>
      </c>
      <c r="F500" s="6" t="str">
        <f>'[1]V, inciso p) (OP)'!AL260</f>
        <v>Construcción de Colector Pluvial en La Venta del Astillero, frente 1, municipio de Zapopan, Jalisco.</v>
      </c>
      <c r="G500" s="6" t="s">
        <v>3332</v>
      </c>
      <c r="H500" s="25">
        <v>7971544.1399999997</v>
      </c>
      <c r="I500" s="6" t="str">
        <f>'[1]V, inciso p) (OP)'!AS260</f>
        <v>Localidad La Venta del Astillero</v>
      </c>
      <c r="J500" s="6" t="str">
        <f>'[1]V, inciso p) (OP)'!T260</f>
        <v>SERGIO ALBERTO</v>
      </c>
      <c r="K500" s="6" t="str">
        <f>'[1]V, inciso p) (OP)'!U260</f>
        <v>BAYLON</v>
      </c>
      <c r="L500" s="6" t="str">
        <f>'[1]V, inciso p) (OP)'!V260</f>
        <v>MORENO</v>
      </c>
      <c r="M500" s="6" t="s">
        <v>1683</v>
      </c>
      <c r="N500" s="6" t="str">
        <f>'[1]V, inciso p) (OP)'!X260</f>
        <v>EEC9909173A7</v>
      </c>
      <c r="O500" s="11">
        <f t="shared" si="11"/>
        <v>7971544.1399999997</v>
      </c>
      <c r="P500" s="11">
        <v>6663056.5499999998</v>
      </c>
      <c r="Q500" s="14" t="s">
        <v>998</v>
      </c>
      <c r="R500" s="15">
        <f>H500/952.15</f>
        <v>8372.1515937614877</v>
      </c>
      <c r="S500" s="7" t="s">
        <v>41</v>
      </c>
      <c r="T500" s="12">
        <v>2664</v>
      </c>
      <c r="U500" s="13" t="s">
        <v>42</v>
      </c>
      <c r="V500" s="43" t="s">
        <v>43</v>
      </c>
      <c r="W500" s="10">
        <f>'[1]V, inciso p) (OP)'!AM260</f>
        <v>43047</v>
      </c>
      <c r="X500" s="10">
        <f>'[1]V, inciso p) (OP)'!AN260</f>
        <v>43161</v>
      </c>
      <c r="Y500" s="7" t="s">
        <v>380</v>
      </c>
      <c r="Z500" s="7" t="s">
        <v>45</v>
      </c>
      <c r="AA500" s="7" t="s">
        <v>46</v>
      </c>
      <c r="AB500" s="21" t="s">
        <v>2714</v>
      </c>
      <c r="AC500" s="6" t="s">
        <v>2438</v>
      </c>
      <c r="AD500" s="6"/>
    </row>
    <row r="501" spans="1:30" ht="69.95" customHeight="1">
      <c r="A501" s="34">
        <v>225</v>
      </c>
      <c r="B501" s="7">
        <v>2017</v>
      </c>
      <c r="C501" s="6" t="str">
        <f>'[1]V, inciso p) (OP)'!B261</f>
        <v>Licitación por Invitación Restringida</v>
      </c>
      <c r="D501" s="6" t="str">
        <f>'[1]V, inciso p) (OP)'!D261</f>
        <v>DOPI-MUN-CUSMAX-DS-CI-225-2017</v>
      </c>
      <c r="E501" s="10">
        <f>'[1]V, inciso p) (OP)'!AD261</f>
        <v>43047</v>
      </c>
      <c r="F501" s="6" t="str">
        <f>'[1]V, inciso p) (OP)'!AL261</f>
        <v>Construcción de Colector Pluvial en La Venta del Astillero, frente 2, municipio de Zapopan, Jalisco.</v>
      </c>
      <c r="G501" s="6" t="s">
        <v>3332</v>
      </c>
      <c r="H501" s="25">
        <v>8497819.8900000006</v>
      </c>
      <c r="I501" s="6" t="str">
        <f>'[1]V, inciso p) (OP)'!AS261</f>
        <v>Localidad La Venta del Astillero</v>
      </c>
      <c r="J501" s="6" t="str">
        <f>'[1]V, inciso p) (OP)'!T261</f>
        <v xml:space="preserve"> BERNARDO </v>
      </c>
      <c r="K501" s="6" t="str">
        <f>'[1]V, inciso p) (OP)'!U261</f>
        <v xml:space="preserve">SAENZ </v>
      </c>
      <c r="L501" s="6" t="str">
        <f>'[1]V, inciso p) (OP)'!V261</f>
        <v>BARBA</v>
      </c>
      <c r="M501" s="6" t="s">
        <v>3154</v>
      </c>
      <c r="N501" s="6" t="str">
        <f>'[1]V, inciso p) (OP)'!X261</f>
        <v>GEM070112PX8</v>
      </c>
      <c r="O501" s="11">
        <f t="shared" si="11"/>
        <v>8497819.8900000006</v>
      </c>
      <c r="P501" s="11">
        <v>8371684.7100000009</v>
      </c>
      <c r="Q501" s="14" t="s">
        <v>999</v>
      </c>
      <c r="R501" s="15">
        <f>H501/835.81</f>
        <v>10167.167047534727</v>
      </c>
      <c r="S501" s="7" t="s">
        <v>41</v>
      </c>
      <c r="T501" s="12">
        <v>2664</v>
      </c>
      <c r="U501" s="13" t="s">
        <v>42</v>
      </c>
      <c r="V501" s="43" t="s">
        <v>43</v>
      </c>
      <c r="W501" s="10">
        <f>'[1]V, inciso p) (OP)'!AM261</f>
        <v>43047</v>
      </c>
      <c r="X501" s="10">
        <f>'[1]V, inciso p) (OP)'!AN261</f>
        <v>43161</v>
      </c>
      <c r="Y501" s="7" t="s">
        <v>380</v>
      </c>
      <c r="Z501" s="7" t="s">
        <v>45</v>
      </c>
      <c r="AA501" s="7" t="s">
        <v>46</v>
      </c>
      <c r="AB501" s="21" t="s">
        <v>2715</v>
      </c>
      <c r="AC501" s="6" t="s">
        <v>2438</v>
      </c>
      <c r="AD501" s="6"/>
    </row>
    <row r="502" spans="1:30" ht="69.95" customHeight="1">
      <c r="A502" s="34">
        <v>226</v>
      </c>
      <c r="B502" s="7">
        <v>2017</v>
      </c>
      <c r="C502" s="6" t="str">
        <f>'[1]V, inciso p) (OP)'!B262</f>
        <v>Licitación por Invitación Restringida</v>
      </c>
      <c r="D502" s="6" t="str">
        <f>'[1]V, inciso p) (OP)'!D262</f>
        <v>DOPI-MUN-CUSMAX-BAN-CI-226-2017</v>
      </c>
      <c r="E502" s="10">
        <f>'[1]V, inciso p) (OP)'!AD262</f>
        <v>43047</v>
      </c>
      <c r="F502" s="6" t="str">
        <f>'[1]V, inciso p) (OP)'!AL262</f>
        <v>Primera etapa de la peatonalización en la colonia Chapalita de Occidente (incluye: machuelos, banquetas, accesibilidad universal, bolardos y nomenclatura), municipio de Zapopan, Jalisco.</v>
      </c>
      <c r="G502" s="6" t="s">
        <v>3332</v>
      </c>
      <c r="H502" s="25">
        <v>1985148.5</v>
      </c>
      <c r="I502" s="6" t="str">
        <f>'[1]V, inciso p) (OP)'!AS262</f>
        <v>Colonia Chapalita de Occidente</v>
      </c>
      <c r="J502" s="6" t="str">
        <f>'[1]V, inciso p) (OP)'!T262</f>
        <v>ADALBERTO</v>
      </c>
      <c r="K502" s="6" t="str">
        <f>'[1]V, inciso p) (OP)'!U262</f>
        <v>MEDINA</v>
      </c>
      <c r="L502" s="6" t="str">
        <f>'[1]V, inciso p) (OP)'!V262</f>
        <v>MORALES</v>
      </c>
      <c r="M502" s="6" t="s">
        <v>2010</v>
      </c>
      <c r="N502" s="6" t="str">
        <f>'[1]V, inciso p) (OP)'!X262</f>
        <v>URD130830U21</v>
      </c>
      <c r="O502" s="11">
        <f t="shared" si="11"/>
        <v>1985148.5</v>
      </c>
      <c r="P502" s="11">
        <v>1985148.49</v>
      </c>
      <c r="Q502" s="14" t="s">
        <v>1000</v>
      </c>
      <c r="R502" s="15">
        <f>H502/1581.66</f>
        <v>1255.1044472263318</v>
      </c>
      <c r="S502" s="7" t="s">
        <v>41</v>
      </c>
      <c r="T502" s="12">
        <v>5863</v>
      </c>
      <c r="U502" s="13" t="s">
        <v>42</v>
      </c>
      <c r="V502" s="43" t="s">
        <v>43</v>
      </c>
      <c r="W502" s="10">
        <f>'[1]V, inciso p) (OP)'!AM262</f>
        <v>43047</v>
      </c>
      <c r="X502" s="10">
        <f>'[1]V, inciso p) (OP)'!AN262</f>
        <v>43133</v>
      </c>
      <c r="Y502" s="7" t="s">
        <v>375</v>
      </c>
      <c r="Z502" s="7" t="s">
        <v>252</v>
      </c>
      <c r="AA502" s="7" t="s">
        <v>253</v>
      </c>
      <c r="AB502" s="21" t="s">
        <v>2716</v>
      </c>
      <c r="AC502" s="6" t="s">
        <v>2438</v>
      </c>
      <c r="AD502" s="6"/>
    </row>
    <row r="503" spans="1:30" ht="69.95" customHeight="1">
      <c r="A503" s="34">
        <v>227</v>
      </c>
      <c r="B503" s="7">
        <v>2017</v>
      </c>
      <c r="C503" s="6" t="str">
        <f>'[1]V, inciso p) (OP)'!B263</f>
        <v>Licitación por Invitación Restringida</v>
      </c>
      <c r="D503" s="6" t="str">
        <f>'[1]V, inciso p) (OP)'!D263</f>
        <v>DOPI-MUN-CUSMAX-BAN-CI-227-2017</v>
      </c>
      <c r="E503" s="10">
        <f>'[1]V, inciso p) (OP)'!AD263</f>
        <v>43047</v>
      </c>
      <c r="F503" s="6" t="str">
        <f>'[1]V, inciso p) (OP)'!AL263</f>
        <v>Primera etapa de la peatonalización en la colonia Jardines de Guadalupe (incluye: machuelos, banquetas, accesibilidad universal, bolardos y nomenclatura), municipio de Zapopan, Jalisco.</v>
      </c>
      <c r="G503" s="6" t="s">
        <v>3332</v>
      </c>
      <c r="H503" s="25">
        <v>1919195.61</v>
      </c>
      <c r="I503" s="6" t="str">
        <f>'[1]V, inciso p) (OP)'!AS263</f>
        <v>Colonia Jardines de Guadalupe</v>
      </c>
      <c r="J503" s="6" t="str">
        <f>'[1]V, inciso p) (OP)'!T263</f>
        <v xml:space="preserve">GUILLERMO ALBERTO </v>
      </c>
      <c r="K503" s="6" t="str">
        <f>'[1]V, inciso p) (OP)'!U263</f>
        <v>RODRÍGUEZ</v>
      </c>
      <c r="L503" s="6" t="str">
        <f>'[1]V, inciso p) (OP)'!V263</f>
        <v>ALLENDE</v>
      </c>
      <c r="M503" s="6" t="s">
        <v>3075</v>
      </c>
      <c r="N503" s="6" t="str">
        <f>'[1]V, inciso p) (OP)'!X263</f>
        <v>GCM121112J86</v>
      </c>
      <c r="O503" s="11">
        <f t="shared" si="11"/>
        <v>1919195.61</v>
      </c>
      <c r="P503" s="11">
        <v>1919184.34</v>
      </c>
      <c r="Q503" s="14" t="s">
        <v>1001</v>
      </c>
      <c r="R503" s="15">
        <f>H503/1369.44</f>
        <v>1401.4455616894497</v>
      </c>
      <c r="S503" s="7" t="s">
        <v>41</v>
      </c>
      <c r="T503" s="12">
        <v>3265</v>
      </c>
      <c r="U503" s="13" t="s">
        <v>42</v>
      </c>
      <c r="V503" s="43" t="s">
        <v>43</v>
      </c>
      <c r="W503" s="10">
        <f>'[1]V, inciso p) (OP)'!AM263</f>
        <v>43047</v>
      </c>
      <c r="X503" s="10">
        <f>'[1]V, inciso p) (OP)'!AN263</f>
        <v>43133</v>
      </c>
      <c r="Y503" s="7" t="s">
        <v>375</v>
      </c>
      <c r="Z503" s="7" t="s">
        <v>252</v>
      </c>
      <c r="AA503" s="7" t="s">
        <v>253</v>
      </c>
      <c r="AB503" s="21" t="s">
        <v>2717</v>
      </c>
      <c r="AC503" s="6" t="s">
        <v>2438</v>
      </c>
      <c r="AD503" s="6"/>
    </row>
    <row r="504" spans="1:30" ht="69.95" customHeight="1">
      <c r="A504" s="34">
        <v>228</v>
      </c>
      <c r="B504" s="7">
        <v>2017</v>
      </c>
      <c r="C504" s="6" t="str">
        <f>'[1]V, inciso p) (OP)'!B264</f>
        <v>Licitación por Invitación Restringida</v>
      </c>
      <c r="D504" s="6" t="str">
        <f>'[1]V, inciso p) (OP)'!D264</f>
        <v>DOPI-MUN-CUSMAX-IU-CI-228-2017</v>
      </c>
      <c r="E504" s="10">
        <f>'[1]V, inciso p) (OP)'!AD264</f>
        <v>43047</v>
      </c>
      <c r="F504" s="32" t="str">
        <f>'[1]V, inciso p) (OP)'!AL264</f>
        <v>Construcción de Parque Lineal en la Av. Patria de Av. Acueducto - Eva Briseño-Av. Américas, primera etapa: desazolve y rectificación del cauce, muro de protección, alcantarillas pluviales, estructura para cruce peatonal de alcantarilla pluvial y lavaderos, municipio de Zapopan, Jalisco.</v>
      </c>
      <c r="G504" s="6" t="s">
        <v>3332</v>
      </c>
      <c r="H504" s="25">
        <v>7122671.96</v>
      </c>
      <c r="I504" s="6" t="str">
        <f>'[1]V, inciso p) (OP)'!AS264</f>
        <v>Zona Andares</v>
      </c>
      <c r="J504" s="6" t="str">
        <f>'[1]V, inciso p) (OP)'!T264</f>
        <v>CARLOS</v>
      </c>
      <c r="K504" s="6" t="str">
        <f>'[1]V, inciso p) (OP)'!U264</f>
        <v>PÉREZ</v>
      </c>
      <c r="L504" s="6" t="str">
        <f>'[1]V, inciso p) (OP)'!V264</f>
        <v>CRUZ</v>
      </c>
      <c r="M504" s="6" t="s">
        <v>1965</v>
      </c>
      <c r="N504" s="6" t="str">
        <f>'[1]V, inciso p) (OP)'!X264</f>
        <v>CPE070123PD4</v>
      </c>
      <c r="O504" s="11">
        <f t="shared" si="11"/>
        <v>7122671.96</v>
      </c>
      <c r="P504" s="11">
        <v>7122007.5099999998</v>
      </c>
      <c r="Q504" s="14" t="s">
        <v>1002</v>
      </c>
      <c r="R504" s="15">
        <f>H504/18735.5</f>
        <v>380.16983587307516</v>
      </c>
      <c r="S504" s="7" t="s">
        <v>41</v>
      </c>
      <c r="T504" s="12">
        <v>4201</v>
      </c>
      <c r="U504" s="13" t="s">
        <v>42</v>
      </c>
      <c r="V504" s="43" t="s">
        <v>43</v>
      </c>
      <c r="W504" s="10">
        <f>'[1]V, inciso p) (OP)'!AM264</f>
        <v>43047</v>
      </c>
      <c r="X504" s="10">
        <f>'[1]V, inciso p) (OP)'!AN264</f>
        <v>43133</v>
      </c>
      <c r="Y504" s="7" t="s">
        <v>431</v>
      </c>
      <c r="Z504" s="7" t="s">
        <v>181</v>
      </c>
      <c r="AA504" s="7" t="s">
        <v>89</v>
      </c>
      <c r="AB504" s="21" t="s">
        <v>2718</v>
      </c>
      <c r="AC504" s="6" t="s">
        <v>2438</v>
      </c>
      <c r="AD504" s="6"/>
    </row>
    <row r="505" spans="1:30" ht="69.95" customHeight="1">
      <c r="A505" s="34">
        <v>229</v>
      </c>
      <c r="B505" s="7">
        <v>2017</v>
      </c>
      <c r="C505" s="7" t="s">
        <v>62</v>
      </c>
      <c r="D505" s="6" t="str">
        <f>'[1]V, inciso o) (OP)'!C250</f>
        <v>DOPI-MUN-CUSMAX-SER-AD-229-2017</v>
      </c>
      <c r="E505" s="10">
        <f>'[1]V, inciso o) (OP)'!V250</f>
        <v>43017</v>
      </c>
      <c r="F505" s="32" t="str">
        <f>'[1]V, inciso o) (OP)'!AA250</f>
        <v>Diagnóstico y proyecto ejecutivo de las obras a realizar para mitigar los impactos que generará la construcción vertical con incremento del coeficiente de utilización de suelo (CUS) en la zona de Guadalupe – Los Cubos – Jardines Universidad y zona de Plaza del Sol – Loma Bonita, en el municipio de Zapopan, Jalisco.</v>
      </c>
      <c r="G505" s="6" t="s">
        <v>3332</v>
      </c>
      <c r="H505" s="25">
        <v>812650.35</v>
      </c>
      <c r="I505" s="6" t="s">
        <v>2531</v>
      </c>
      <c r="J505" s="6" t="str">
        <f>'[1]V, inciso o) (OP)'!M250</f>
        <v>JUAN FRANCISCO</v>
      </c>
      <c r="K505" s="6" t="str">
        <f>'[1]V, inciso o) (OP)'!N250</f>
        <v>TOSCANO</v>
      </c>
      <c r="L505" s="6" t="str">
        <f>'[1]V, inciso o) (OP)'!O250</f>
        <v>LASES</v>
      </c>
      <c r="M505" s="6" t="s">
        <v>3197</v>
      </c>
      <c r="N505" s="6" t="str">
        <f>'[1]V, inciso o) (OP)'!Q250</f>
        <v>IDO100427QG2</v>
      </c>
      <c r="O505" s="11">
        <f t="shared" si="11"/>
        <v>812650.35</v>
      </c>
      <c r="P505" s="11">
        <v>812650.35</v>
      </c>
      <c r="Q505" s="7" t="s">
        <v>499</v>
      </c>
      <c r="R505" s="11">
        <f>O505</f>
        <v>812650.35</v>
      </c>
      <c r="S505" s="7" t="s">
        <v>121</v>
      </c>
      <c r="T505" s="12" t="s">
        <v>121</v>
      </c>
      <c r="U505" s="13" t="s">
        <v>42</v>
      </c>
      <c r="V505" s="43" t="s">
        <v>43</v>
      </c>
      <c r="W505" s="10">
        <f>'[1]V, inciso o) (OP)'!AD250</f>
        <v>43018</v>
      </c>
      <c r="X505" s="10">
        <f>'[1]V, inciso o) (OP)'!AE250</f>
        <v>43109</v>
      </c>
      <c r="Y505" s="7" t="s">
        <v>680</v>
      </c>
      <c r="Z505" s="7" t="s">
        <v>681</v>
      </c>
      <c r="AA505" s="7" t="s">
        <v>132</v>
      </c>
      <c r="AB505" s="21" t="s">
        <v>1564</v>
      </c>
      <c r="AC505" s="6" t="s">
        <v>2438</v>
      </c>
      <c r="AD505" s="6"/>
    </row>
    <row r="506" spans="1:30" ht="69.95" customHeight="1">
      <c r="A506" s="34">
        <v>230</v>
      </c>
      <c r="B506" s="7">
        <v>2017</v>
      </c>
      <c r="C506" s="7" t="s">
        <v>62</v>
      </c>
      <c r="D506" s="6" t="str">
        <f>'[1]V, inciso o) (OP)'!C251</f>
        <v>DOPI-MUN-RM-BAN-AD-230-2017</v>
      </c>
      <c r="E506" s="10">
        <f>'[1]V, inciso o) (OP)'!V251</f>
        <v>43011</v>
      </c>
      <c r="F506" s="6" t="str">
        <f>'[1]V, inciso o) (OP)'!AA251</f>
        <v>Peatonalización, construcción de banquetas, sustitución de guarniciones, bolardos, accesibilidad primera etapa en la colonia La Tuzania Ejidal, municipio de Zapopan, Jalisco.</v>
      </c>
      <c r="G506" s="6" t="s">
        <v>63</v>
      </c>
      <c r="H506" s="25">
        <v>1498650.24</v>
      </c>
      <c r="I506" s="6" t="s">
        <v>1003</v>
      </c>
      <c r="J506" s="6" t="str">
        <f>'[1]V, inciso o) (OP)'!M251</f>
        <v>MARÍA DE LOURDES</v>
      </c>
      <c r="K506" s="6" t="str">
        <f>'[1]V, inciso o) (OP)'!N251</f>
        <v xml:space="preserve">CASTAÑEDA </v>
      </c>
      <c r="L506" s="6" t="str">
        <f>'[1]V, inciso o) (OP)'!O251</f>
        <v>LACARIERE</v>
      </c>
      <c r="M506" s="6" t="s">
        <v>2248</v>
      </c>
      <c r="N506" s="6" t="str">
        <f>'[1]V, inciso o) (OP)'!Q251</f>
        <v>LED091006JG1</v>
      </c>
      <c r="O506" s="11">
        <f t="shared" si="11"/>
        <v>1498650.24</v>
      </c>
      <c r="P506" s="11">
        <v>1498650.2000000002</v>
      </c>
      <c r="Q506" s="7" t="s">
        <v>1004</v>
      </c>
      <c r="R506" s="11">
        <f>O506/1298</f>
        <v>1154.5841602465332</v>
      </c>
      <c r="S506" s="7" t="s">
        <v>41</v>
      </c>
      <c r="T506" s="12">
        <v>366</v>
      </c>
      <c r="U506" s="13" t="s">
        <v>42</v>
      </c>
      <c r="V506" s="43" t="s">
        <v>43</v>
      </c>
      <c r="W506" s="10">
        <f>'[1]V, inciso o) (OP)'!AD251</f>
        <v>43018</v>
      </c>
      <c r="X506" s="10">
        <f>'[1]V, inciso o) (OP)'!AE251</f>
        <v>43084</v>
      </c>
      <c r="Y506" s="7" t="s">
        <v>360</v>
      </c>
      <c r="Z506" s="7" t="s">
        <v>361</v>
      </c>
      <c r="AA506" s="7" t="s">
        <v>362</v>
      </c>
      <c r="AB506" s="21" t="s">
        <v>1565</v>
      </c>
      <c r="AC506" s="6" t="s">
        <v>2438</v>
      </c>
      <c r="AD506" s="6"/>
    </row>
    <row r="507" spans="1:30" ht="69.95" customHeight="1">
      <c r="A507" s="34">
        <v>231</v>
      </c>
      <c r="B507" s="7">
        <v>2017</v>
      </c>
      <c r="C507" s="7" t="s">
        <v>62</v>
      </c>
      <c r="D507" s="6" t="str">
        <f>'[1]V, inciso o) (OP)'!C252</f>
        <v>DOPI-MUN-RM-BAN-AD-231-2017</v>
      </c>
      <c r="E507" s="10">
        <f>'[1]V, inciso o) (OP)'!V252</f>
        <v>43017</v>
      </c>
      <c r="F507" s="6" t="str">
        <f>'[1]V, inciso o) (OP)'!AA252</f>
        <v>Peatonalización, construcción de banquetas, sustitución de guarniciones, rehabilitación de empedrado, bolardos, accesibilidad,  primera etapa en Cuidad Granja, municipio de Zapopan, Jalisco.</v>
      </c>
      <c r="G507" s="6" t="s">
        <v>63</v>
      </c>
      <c r="H507" s="25">
        <v>1501787.44</v>
      </c>
      <c r="I507" s="6" t="s">
        <v>1005</v>
      </c>
      <c r="J507" s="6" t="str">
        <f>'[1]V, inciso o) (OP)'!M252</f>
        <v>JOSÉ DE JESÚS</v>
      </c>
      <c r="K507" s="6" t="str">
        <f>'[1]V, inciso o) (OP)'!N252</f>
        <v>CÁRDENAS</v>
      </c>
      <c r="L507" s="6" t="str">
        <f>'[1]V, inciso o) (OP)'!O252</f>
        <v xml:space="preserve">SOLÍS </v>
      </c>
      <c r="M507" s="6" t="s">
        <v>3198</v>
      </c>
      <c r="N507" s="6" t="str">
        <f>'[1]V, inciso o) (OP)'!Q252</f>
        <v>CCE170517HW2</v>
      </c>
      <c r="O507" s="11">
        <f t="shared" si="11"/>
        <v>1501787.44</v>
      </c>
      <c r="P507" s="11">
        <v>1501785.1099999999</v>
      </c>
      <c r="Q507" s="7" t="s">
        <v>1006</v>
      </c>
      <c r="R507" s="11">
        <f>O507/1201</f>
        <v>1250.4474937552041</v>
      </c>
      <c r="S507" s="7" t="s">
        <v>41</v>
      </c>
      <c r="T507" s="12">
        <v>1623</v>
      </c>
      <c r="U507" s="13" t="s">
        <v>42</v>
      </c>
      <c r="V507" s="43" t="s">
        <v>43</v>
      </c>
      <c r="W507" s="10">
        <f>'[1]V, inciso o) (OP)'!AD252</f>
        <v>43018</v>
      </c>
      <c r="X507" s="10">
        <f>'[1]V, inciso o) (OP)'!AE252</f>
        <v>43084</v>
      </c>
      <c r="Y507" s="7" t="s">
        <v>380</v>
      </c>
      <c r="Z507" s="7" t="s">
        <v>45</v>
      </c>
      <c r="AA507" s="7" t="s">
        <v>46</v>
      </c>
      <c r="AB507" s="21" t="s">
        <v>1566</v>
      </c>
      <c r="AC507" s="6" t="s">
        <v>2438</v>
      </c>
      <c r="AD507" s="6"/>
    </row>
    <row r="508" spans="1:30" ht="69.95" customHeight="1">
      <c r="A508" s="34">
        <v>232</v>
      </c>
      <c r="B508" s="7">
        <v>2017</v>
      </c>
      <c r="C508" s="7" t="s">
        <v>62</v>
      </c>
      <c r="D508" s="6" t="str">
        <f>'[1]V, inciso o) (OP)'!C253</f>
        <v>DOPI-MUN-CUSMAX-BAN-AD-232-2017</v>
      </c>
      <c r="E508" s="10">
        <f>'[1]V, inciso o) (OP)'!V253</f>
        <v>43013</v>
      </c>
      <c r="F508" s="6" t="str">
        <f>'[1]V, inciso o) (OP)'!AA253</f>
        <v>Primera etapa de la peatonalización en la colonia Los Pinos (incluye: machuelos, banquetas, accesibilidad universal, bolardos y nomenclatura).</v>
      </c>
      <c r="G508" s="6" t="s">
        <v>3332</v>
      </c>
      <c r="H508" s="25">
        <v>999802.79</v>
      </c>
      <c r="I508" s="6" t="s">
        <v>1007</v>
      </c>
      <c r="J508" s="6" t="str">
        <f>'[1]V, inciso o) (OP)'!M253</f>
        <v>ELIZABETH GUADALUPE</v>
      </c>
      <c r="K508" s="6" t="str">
        <f>'[1]V, inciso o) (OP)'!N253</f>
        <v>LÓPEZ</v>
      </c>
      <c r="L508" s="6" t="str">
        <f>'[1]V, inciso o) (OP)'!O253</f>
        <v>GUTIÉRREZ</v>
      </c>
      <c r="M508" s="6" t="s">
        <v>3199</v>
      </c>
      <c r="N508" s="6" t="str">
        <f>'[1]V, inciso o) (OP)'!Q253</f>
        <v>SED080712SJ7</v>
      </c>
      <c r="O508" s="11">
        <f t="shared" si="11"/>
        <v>999802.79</v>
      </c>
      <c r="P508" s="11">
        <v>999801.64</v>
      </c>
      <c r="Q508" s="7" t="s">
        <v>1008</v>
      </c>
      <c r="R508" s="11">
        <f>H508/1186</f>
        <v>843.00403878583472</v>
      </c>
      <c r="S508" s="7" t="s">
        <v>41</v>
      </c>
      <c r="T508" s="12">
        <v>1204</v>
      </c>
      <c r="U508" s="13" t="s">
        <v>42</v>
      </c>
      <c r="V508" s="43" t="s">
        <v>43</v>
      </c>
      <c r="W508" s="10">
        <f>'[1]V, inciso o) (OP)'!AD253</f>
        <v>43014</v>
      </c>
      <c r="X508" s="10">
        <f>'[1]V, inciso o) (OP)'!AE253</f>
        <v>43083</v>
      </c>
      <c r="Y508" s="7" t="s">
        <v>375</v>
      </c>
      <c r="Z508" s="7" t="s">
        <v>252</v>
      </c>
      <c r="AA508" s="7" t="s">
        <v>253</v>
      </c>
      <c r="AB508" s="21" t="s">
        <v>1567</v>
      </c>
      <c r="AC508" s="6" t="s">
        <v>2438</v>
      </c>
      <c r="AD508" s="6"/>
    </row>
    <row r="509" spans="1:30" ht="69.95" customHeight="1">
      <c r="A509" s="34">
        <v>234</v>
      </c>
      <c r="B509" s="7">
        <v>2017</v>
      </c>
      <c r="C509" s="7" t="s">
        <v>62</v>
      </c>
      <c r="D509" s="6" t="str">
        <f>'[1]V, inciso o) (OP)'!C255</f>
        <v>DOPI-MUN-CUSMAX-BAN-AD-234-2017</v>
      </c>
      <c r="E509" s="10">
        <f>'[1]V, inciso o) (OP)'!V255</f>
        <v>43019</v>
      </c>
      <c r="F509" s="6" t="str">
        <f>'[1]V, inciso o) (OP)'!AA255</f>
        <v>Primera etapa de la peatonalización en la colonia Jardines de San Ignacio (incluye: machuelos, banquetas, accesibilidad universal, bolardos y nomenclatura).</v>
      </c>
      <c r="G509" s="6" t="s">
        <v>3332</v>
      </c>
      <c r="H509" s="25">
        <v>1429650.48</v>
      </c>
      <c r="I509" s="6" t="s">
        <v>1011</v>
      </c>
      <c r="J509" s="6" t="str">
        <f>'[1]V, inciso o) (OP)'!M255</f>
        <v xml:space="preserve">HUGO ALEJANDRO </v>
      </c>
      <c r="K509" s="6" t="str">
        <f>'[1]V, inciso o) (OP)'!N255</f>
        <v xml:space="preserve">ALMANZOR </v>
      </c>
      <c r="L509" s="6" t="str">
        <f>'[1]V, inciso o) (OP)'!O255</f>
        <v>GONZÁLEZ</v>
      </c>
      <c r="M509" s="6" t="s">
        <v>3200</v>
      </c>
      <c r="N509" s="6" t="str">
        <f>'[1]V, inciso o) (OP)'!Q255</f>
        <v>ACO0806185Z3</v>
      </c>
      <c r="O509" s="11">
        <f t="shared" si="11"/>
        <v>1429650.48</v>
      </c>
      <c r="P509" s="11">
        <v>1377511.54</v>
      </c>
      <c r="Q509" s="7" t="s">
        <v>1012</v>
      </c>
      <c r="R509" s="11">
        <f>O509/1150</f>
        <v>1243.1743304347826</v>
      </c>
      <c r="S509" s="7" t="s">
        <v>41</v>
      </c>
      <c r="T509" s="12">
        <v>988</v>
      </c>
      <c r="U509" s="13" t="s">
        <v>42</v>
      </c>
      <c r="V509" s="43" t="s">
        <v>43</v>
      </c>
      <c r="W509" s="10">
        <f>'[1]V, inciso o) (OP)'!AD255</f>
        <v>43024</v>
      </c>
      <c r="X509" s="10">
        <f>'[1]V, inciso o) (OP)'!AE255</f>
        <v>43084</v>
      </c>
      <c r="Y509" s="7" t="s">
        <v>360</v>
      </c>
      <c r="Z509" s="7" t="s">
        <v>361</v>
      </c>
      <c r="AA509" s="7" t="s">
        <v>362</v>
      </c>
      <c r="AB509" s="21" t="s">
        <v>2850</v>
      </c>
      <c r="AC509" s="6" t="s">
        <v>2438</v>
      </c>
      <c r="AD509" s="6"/>
    </row>
    <row r="510" spans="1:30" ht="69.95" customHeight="1">
      <c r="A510" s="34">
        <v>235</v>
      </c>
      <c r="B510" s="7">
        <v>2017</v>
      </c>
      <c r="C510" s="6" t="str">
        <f>'[1]V, inciso p) (OP)'!B265</f>
        <v>Licitación por Invitación Restringida</v>
      </c>
      <c r="D510" s="6" t="str">
        <f>'[1]V, inciso p) (OP)'!D265</f>
        <v>DOPI-MUN-RM-PAV-CI-235-2017</v>
      </c>
      <c r="E510" s="10">
        <f>'[1]V, inciso p) (OP)'!AD265</f>
        <v>43047</v>
      </c>
      <c r="F510" s="6" t="str">
        <f>'[1]V, inciso p) (OP)'!AL265</f>
        <v>Construcción de vialidad de ingreso a la preparatoria de la Universidad de Guadalajara, incluye: guarniciones, banquetas, red de agua potable y alcantarillado y servicios complementarios, en el Ejido Copalita, municipio de Zapopan, Jalisco, frente 1.</v>
      </c>
      <c r="G510" s="6" t="s">
        <v>63</v>
      </c>
      <c r="H510" s="25">
        <v>6527343.5599999996</v>
      </c>
      <c r="I510" s="6" t="str">
        <f>'[1]V, inciso p) (OP)'!AS265</f>
        <v>Ejido Copalita</v>
      </c>
      <c r="J510" s="6" t="str">
        <f>'[1]V, inciso p) (OP)'!T265</f>
        <v>ELVIA ALEJANDRA</v>
      </c>
      <c r="K510" s="6" t="str">
        <f>'[1]V, inciso p) (OP)'!U265</f>
        <v>TORRES</v>
      </c>
      <c r="L510" s="6" t="str">
        <f>'[1]V, inciso p) (OP)'!V265</f>
        <v>VILLA</v>
      </c>
      <c r="M510" s="6" t="s">
        <v>3181</v>
      </c>
      <c r="N510" s="6" t="str">
        <f>'[1]V, inciso p) (OP)'!X265</f>
        <v>PRO0205208F2</v>
      </c>
      <c r="O510" s="11">
        <f t="shared" si="11"/>
        <v>6527343.5599999996</v>
      </c>
      <c r="P510" s="11">
        <v>4597537.6399999997</v>
      </c>
      <c r="Q510" s="14" t="s">
        <v>1013</v>
      </c>
      <c r="R510" s="15">
        <f>H510/2856</f>
        <v>2285.4844397759102</v>
      </c>
      <c r="S510" s="7" t="s">
        <v>41</v>
      </c>
      <c r="T510" s="12">
        <v>3215</v>
      </c>
      <c r="U510" s="13" t="s">
        <v>42</v>
      </c>
      <c r="V510" s="43" t="s">
        <v>43</v>
      </c>
      <c r="W510" s="10">
        <f>'[1]V, inciso p) (OP)'!AM265</f>
        <v>43047</v>
      </c>
      <c r="X510" s="10">
        <f>'[1]V, inciso p) (OP)'!AN265</f>
        <v>43161</v>
      </c>
      <c r="Y510" s="7" t="s">
        <v>460</v>
      </c>
      <c r="Z510" s="7" t="s">
        <v>302</v>
      </c>
      <c r="AA510" s="7" t="s">
        <v>303</v>
      </c>
      <c r="AB510" s="21" t="s">
        <v>2719</v>
      </c>
      <c r="AC510" s="6" t="s">
        <v>2438</v>
      </c>
      <c r="AD510" s="6"/>
    </row>
    <row r="511" spans="1:30" ht="69.95" customHeight="1">
      <c r="A511" s="34">
        <v>237</v>
      </c>
      <c r="B511" s="7">
        <v>2017</v>
      </c>
      <c r="C511" s="6" t="str">
        <f>'[1]V, inciso p) (OP)'!B267</f>
        <v>Licitación por Invitación Restringida</v>
      </c>
      <c r="D511" s="6" t="str">
        <f>'[1]V, inciso p) (OP)'!D267</f>
        <v>DOPI-MUN-CUSMAX-BAN-CI-237-2017</v>
      </c>
      <c r="E511" s="10">
        <f>'[1]V, inciso p) (OP)'!AD267</f>
        <v>43047</v>
      </c>
      <c r="F511" s="6" t="str">
        <f>'[1]V, inciso p) (OP)'!AL267</f>
        <v>Primera etapa de la peatonalización en la colonia Rinconada del Sol (incluye: machuelos, banquetas, accesibilidad universal, bolardos y nomenclatura), municipio de Zapopan, Jalisco.</v>
      </c>
      <c r="G511" s="6" t="s">
        <v>3332</v>
      </c>
      <c r="H511" s="25">
        <v>1999878.73</v>
      </c>
      <c r="I511" s="6" t="str">
        <f>'[1]V, inciso p) (OP)'!AS267</f>
        <v>Colonia Rinconada del Sol</v>
      </c>
      <c r="J511" s="6" t="str">
        <f>'[1]V, inciso p) (OP)'!T267</f>
        <v>ROBERTO</v>
      </c>
      <c r="K511" s="6" t="str">
        <f>'[1]V, inciso p) (OP)'!U267</f>
        <v>FLORES</v>
      </c>
      <c r="L511" s="6" t="str">
        <f>'[1]V, inciso p) (OP)'!V267</f>
        <v>ARREOLA</v>
      </c>
      <c r="M511" s="6" t="s">
        <v>3192</v>
      </c>
      <c r="N511" s="6" t="str">
        <f>'[1]V, inciso p) (OP)'!X267</f>
        <v>ESC930617KW9</v>
      </c>
      <c r="O511" s="11">
        <f t="shared" si="11"/>
        <v>1999878.73</v>
      </c>
      <c r="P511" s="11">
        <v>1999878.73</v>
      </c>
      <c r="Q511" s="14" t="s">
        <v>1014</v>
      </c>
      <c r="R511" s="15">
        <f>H511/1510.01</f>
        <v>1324.4142290448408</v>
      </c>
      <c r="S511" s="7" t="s">
        <v>41</v>
      </c>
      <c r="T511" s="12">
        <v>965</v>
      </c>
      <c r="U511" s="13" t="s">
        <v>42</v>
      </c>
      <c r="V511" s="43" t="s">
        <v>43</v>
      </c>
      <c r="W511" s="10">
        <f>'[1]V, inciso p) (OP)'!AM267</f>
        <v>43047</v>
      </c>
      <c r="X511" s="10">
        <f>'[1]V, inciso p) (OP)'!AN267</f>
        <v>43133</v>
      </c>
      <c r="Y511" s="7" t="s">
        <v>375</v>
      </c>
      <c r="Z511" s="7" t="s">
        <v>252</v>
      </c>
      <c r="AA511" s="7" t="s">
        <v>253</v>
      </c>
      <c r="AB511" s="21" t="s">
        <v>2720</v>
      </c>
      <c r="AC511" s="6" t="s">
        <v>2438</v>
      </c>
      <c r="AD511" s="6"/>
    </row>
    <row r="512" spans="1:30" ht="69.95" customHeight="1">
      <c r="A512" s="34">
        <v>238</v>
      </c>
      <c r="B512" s="7">
        <v>2017</v>
      </c>
      <c r="C512" s="6" t="str">
        <f>'[1]V, inciso p) (OP)'!B268</f>
        <v>Licitación por Invitación Restringida</v>
      </c>
      <c r="D512" s="6" t="str">
        <f>'[1]V, inciso p) (OP)'!D268</f>
        <v>DOPI-MUN-CUSMAX-BAN-CI-238-2017</v>
      </c>
      <c r="E512" s="10">
        <f>'[1]V, inciso p) (OP)'!AD268</f>
        <v>43047</v>
      </c>
      <c r="F512" s="6" t="str">
        <f>'[1]V, inciso p) (OP)'!AL268</f>
        <v>Primera etapa de la peatonalización en las colonias Loma Bonita, Loma Bonita Sur y Rinconada de la Calma (incluye: machuelos, banquetas, accesibilidad universal, bolardos y nomenclatura), municipio de Zapopan, Jalisco.</v>
      </c>
      <c r="G512" s="6" t="s">
        <v>3332</v>
      </c>
      <c r="H512" s="25">
        <v>2499342.11</v>
      </c>
      <c r="I512" s="6" t="str">
        <f>'[1]V, inciso p) (OP)'!AS268</f>
        <v>Colonias Loma Bonita, Loma Bonita Sur y Rinconada de la Calma</v>
      </c>
      <c r="J512" s="6" t="str">
        <f>'[1]V, inciso p) (OP)'!T268</f>
        <v xml:space="preserve">ARTURO </v>
      </c>
      <c r="K512" s="6" t="str">
        <f>'[1]V, inciso p) (OP)'!U268</f>
        <v>MONTUFAR</v>
      </c>
      <c r="L512" s="6" t="str">
        <f>'[1]V, inciso p) (OP)'!V268</f>
        <v>NUÑEZ</v>
      </c>
      <c r="M512" s="6" t="s">
        <v>3201</v>
      </c>
      <c r="N512" s="6" t="str">
        <f>'[1]V, inciso p) (OP)'!X268</f>
        <v>VPC0012148K0</v>
      </c>
      <c r="O512" s="11">
        <f t="shared" si="11"/>
        <v>2499342.11</v>
      </c>
      <c r="P512" s="11">
        <v>2499341.5</v>
      </c>
      <c r="Q512" s="14" t="s">
        <v>1015</v>
      </c>
      <c r="R512" s="15">
        <f>H512/1941.69</f>
        <v>1287.19935211079</v>
      </c>
      <c r="S512" s="7" t="s">
        <v>41</v>
      </c>
      <c r="T512" s="12">
        <v>1869</v>
      </c>
      <c r="U512" s="13" t="s">
        <v>42</v>
      </c>
      <c r="V512" s="43" t="s">
        <v>43</v>
      </c>
      <c r="W512" s="10">
        <f>'[1]V, inciso p) (OP)'!AM268</f>
        <v>43047</v>
      </c>
      <c r="X512" s="10">
        <f>'[1]V, inciso p) (OP)'!AN268</f>
        <v>43133</v>
      </c>
      <c r="Y512" s="7" t="s">
        <v>375</v>
      </c>
      <c r="Z512" s="7" t="s">
        <v>252</v>
      </c>
      <c r="AA512" s="7" t="s">
        <v>253</v>
      </c>
      <c r="AB512" s="21" t="s">
        <v>2721</v>
      </c>
      <c r="AC512" s="6" t="s">
        <v>2438</v>
      </c>
      <c r="AD512" s="6"/>
    </row>
    <row r="513" spans="1:30" ht="69.95" customHeight="1">
      <c r="A513" s="34">
        <v>239</v>
      </c>
      <c r="B513" s="7">
        <v>2017</v>
      </c>
      <c r="C513" s="6" t="str">
        <f>'[1]V, inciso p) (OP)'!B269</f>
        <v>Licitación por Invitación Restringida</v>
      </c>
      <c r="D513" s="6" t="str">
        <f>'[1]V, inciso p) (OP)'!D269</f>
        <v>DOPI-MUN-CUSMAX-ID-CI-239-2017</v>
      </c>
      <c r="E513" s="10">
        <f>'[1]V, inciso p) (OP)'!AD269</f>
        <v>43047</v>
      </c>
      <c r="F513" s="6" t="str">
        <f>'[1]V, inciso p) (OP)'!AL269</f>
        <v>Construcción de cancha de Futbol Americano, en la Unidad Deportiva Tabachines, municipio de Zapopan, Jalisco.</v>
      </c>
      <c r="G513" s="6" t="s">
        <v>3332</v>
      </c>
      <c r="H513" s="25">
        <v>6990218.1900000004</v>
      </c>
      <c r="I513" s="6" t="str">
        <f>'[1]V, inciso p) (OP)'!AS269</f>
        <v>Colonia Tabachines</v>
      </c>
      <c r="J513" s="6" t="str">
        <f>'[1]V, inciso p) (OP)'!T269</f>
        <v>JAIME FERNANDO</v>
      </c>
      <c r="K513" s="6" t="str">
        <f>'[1]V, inciso p) (OP)'!U269</f>
        <v>ÁLVAREZ</v>
      </c>
      <c r="L513" s="6" t="str">
        <f>'[1]V, inciso p) (OP)'!V269</f>
        <v>LOZANO</v>
      </c>
      <c r="M513" s="6" t="s">
        <v>1858</v>
      </c>
      <c r="N513" s="6" t="str">
        <f>'[1]V, inciso p) (OP)'!X269</f>
        <v>IMU120820NM7</v>
      </c>
      <c r="O513" s="11">
        <f t="shared" si="11"/>
        <v>6990218.1900000004</v>
      </c>
      <c r="P513" s="11">
        <v>6990218.1899999995</v>
      </c>
      <c r="Q513" s="14" t="s">
        <v>1016</v>
      </c>
      <c r="R513" s="15">
        <f>H513/4778.5</f>
        <v>1462.8477953332638</v>
      </c>
      <c r="S513" s="7" t="s">
        <v>41</v>
      </c>
      <c r="T513" s="12">
        <v>2650</v>
      </c>
      <c r="U513" s="13" t="s">
        <v>42</v>
      </c>
      <c r="V513" s="43" t="s">
        <v>43</v>
      </c>
      <c r="W513" s="10">
        <f>'[1]V, inciso p) (OP)'!AM269</f>
        <v>43047</v>
      </c>
      <c r="X513" s="10">
        <f>'[1]V, inciso p) (OP)'!AN269</f>
        <v>43133</v>
      </c>
      <c r="Y513" s="7" t="s">
        <v>753</v>
      </c>
      <c r="Z513" s="7" t="s">
        <v>827</v>
      </c>
      <c r="AA513" s="7" t="s">
        <v>755</v>
      </c>
      <c r="AB513" s="21" t="s">
        <v>2722</v>
      </c>
      <c r="AC513" s="6" t="s">
        <v>2438</v>
      </c>
      <c r="AD513" s="6"/>
    </row>
    <row r="514" spans="1:30" ht="69.95" customHeight="1">
      <c r="A514" s="34">
        <v>240</v>
      </c>
      <c r="B514" s="7">
        <v>2017</v>
      </c>
      <c r="C514" s="7" t="s">
        <v>62</v>
      </c>
      <c r="D514" s="6" t="str">
        <f>'[1]V, inciso o) (OP)'!C256</f>
        <v>DOPI-MUN-RM-BAN-AD-240-2017</v>
      </c>
      <c r="E514" s="10">
        <f>'[1]V, inciso o) (OP)'!V256</f>
        <v>43021</v>
      </c>
      <c r="F514" s="6" t="str">
        <f>'[1]V, inciso o) (OP)'!AA256</f>
        <v>Peatonalización, construcción de banquetas, guarniciones, accesibilidad, bolardos, en el cruce de Av. Acueducto y Av. Patria, reparación de junta de calzada en la Rampa de ingreso al paso elevado de Av. Patria y Av. Acueducto, municipio de Zapopan, Jalisco.</v>
      </c>
      <c r="G514" s="6" t="s">
        <v>63</v>
      </c>
      <c r="H514" s="25">
        <v>902056.34</v>
      </c>
      <c r="I514" s="6" t="s">
        <v>1017</v>
      </c>
      <c r="J514" s="6" t="str">
        <f>'[1]V, inciso o) (OP)'!M256</f>
        <v>GUSTAVO</v>
      </c>
      <c r="K514" s="6" t="str">
        <f>'[1]V, inciso o) (OP)'!N256</f>
        <v>DURAN</v>
      </c>
      <c r="L514" s="6" t="str">
        <f>'[1]V, inciso o) (OP)'!O256</f>
        <v>JIMÉNEZ</v>
      </c>
      <c r="M514" s="6" t="s">
        <v>2150</v>
      </c>
      <c r="N514" s="6" t="str">
        <f>'[1]V, inciso o) (OP)'!Q256</f>
        <v>DJA9405184G7</v>
      </c>
      <c r="O514" s="11">
        <f t="shared" si="11"/>
        <v>902056.34</v>
      </c>
      <c r="P514" s="11">
        <v>479246.39999999997</v>
      </c>
      <c r="Q514" s="7" t="s">
        <v>453</v>
      </c>
      <c r="R514" s="11">
        <f>O514/720</f>
        <v>1252.8560277777776</v>
      </c>
      <c r="S514" s="7" t="s">
        <v>41</v>
      </c>
      <c r="T514" s="12">
        <v>8685</v>
      </c>
      <c r="U514" s="13" t="s">
        <v>42</v>
      </c>
      <c r="V514" s="43" t="s">
        <v>43</v>
      </c>
      <c r="W514" s="10">
        <f>'[1]V, inciso o) (OP)'!AD256</f>
        <v>43022</v>
      </c>
      <c r="X514" s="10">
        <f>'[1]V, inciso o) (OP)'!AE256</f>
        <v>43054</v>
      </c>
      <c r="Y514" s="7" t="s">
        <v>380</v>
      </c>
      <c r="Z514" s="7" t="s">
        <v>45</v>
      </c>
      <c r="AA514" s="7" t="s">
        <v>46</v>
      </c>
      <c r="AB514" s="21" t="s">
        <v>1568</v>
      </c>
      <c r="AC514" s="6" t="s">
        <v>2438</v>
      </c>
      <c r="AD514" s="6"/>
    </row>
    <row r="515" spans="1:30" ht="69.95" customHeight="1">
      <c r="A515" s="34">
        <v>241</v>
      </c>
      <c r="B515" s="7">
        <v>2017</v>
      </c>
      <c r="C515" s="7" t="s">
        <v>62</v>
      </c>
      <c r="D515" s="6" t="str">
        <f>'[1]V, inciso o) (OP)'!C257</f>
        <v>DOPI-MUN-RM-BAN-AD-241-2017</v>
      </c>
      <c r="E515" s="10">
        <f>'[1]V, inciso o) (OP)'!V257</f>
        <v>43021</v>
      </c>
      <c r="F515" s="6" t="str">
        <f>'[1]V, inciso o) (OP)'!AA257</f>
        <v>Restauración de banquetas a base de piedra sangre de pichón en el ingreso posterior de la Presidencial Municipal, municipio de Zapopan, Jalisco, primera etapa.</v>
      </c>
      <c r="G515" s="6" t="s">
        <v>63</v>
      </c>
      <c r="H515" s="25">
        <v>205478.36</v>
      </c>
      <c r="I515" s="6" t="s">
        <v>117</v>
      </c>
      <c r="J515" s="6" t="str">
        <f>'[1]V, inciso o) (OP)'!M257</f>
        <v xml:space="preserve">RAFAEL </v>
      </c>
      <c r="K515" s="6" t="str">
        <f>'[1]V, inciso o) (OP)'!N257</f>
        <v>OROZCO</v>
      </c>
      <c r="L515" s="6" t="str">
        <f>'[1]V, inciso o) (OP)'!O257</f>
        <v>MARTÍNEZ</v>
      </c>
      <c r="M515" s="6" t="s">
        <v>3202</v>
      </c>
      <c r="N515" s="6" t="str">
        <f>'[1]V, inciso o) (OP)'!Q257</f>
        <v>CCO020123366</v>
      </c>
      <c r="O515" s="11">
        <f t="shared" si="11"/>
        <v>205478.36</v>
      </c>
      <c r="P515" s="11">
        <v>203549.58</v>
      </c>
      <c r="Q515" s="7" t="s">
        <v>1018</v>
      </c>
      <c r="R515" s="11">
        <f>H515/120.2</f>
        <v>1709.4705490848585</v>
      </c>
      <c r="S515" s="7" t="s">
        <v>41</v>
      </c>
      <c r="T515" s="12">
        <v>1332272</v>
      </c>
      <c r="U515" s="13" t="s">
        <v>42</v>
      </c>
      <c r="V515" s="43" t="s">
        <v>43</v>
      </c>
      <c r="W515" s="10">
        <f>'[1]V, inciso o) (OP)'!AD257</f>
        <v>43022</v>
      </c>
      <c r="X515" s="10">
        <f>'[1]V, inciso o) (OP)'!AE257</f>
        <v>43054</v>
      </c>
      <c r="Y515" s="7" t="s">
        <v>838</v>
      </c>
      <c r="Z515" s="7" t="s">
        <v>447</v>
      </c>
      <c r="AA515" s="7" t="s">
        <v>448</v>
      </c>
      <c r="AB515" s="21" t="s">
        <v>1569</v>
      </c>
      <c r="AC515" s="6" t="s">
        <v>2438</v>
      </c>
      <c r="AD515" s="6"/>
    </row>
    <row r="516" spans="1:30" ht="69.95" customHeight="1">
      <c r="A516" s="34">
        <v>242</v>
      </c>
      <c r="B516" s="7">
        <v>2017</v>
      </c>
      <c r="C516" s="7" t="s">
        <v>62</v>
      </c>
      <c r="D516" s="6" t="str">
        <f>'[1]V, inciso o) (OP)'!C258</f>
        <v>DOPI-MUN-R33R-IS-AD-242-2017</v>
      </c>
      <c r="E516" s="10">
        <f>'[1]V, inciso o) (OP)'!V258</f>
        <v>43048</v>
      </c>
      <c r="F516" s="6" t="str">
        <f>'[1]V, inciso o) (OP)'!AA258</f>
        <v>Construcción de red de drenaje en privada Ignacio Sandoval, en la colonia La Tarjea, municipio de Zapopan, Jalisco.</v>
      </c>
      <c r="G516" s="6" t="s">
        <v>3326</v>
      </c>
      <c r="H516" s="25">
        <v>696102.42</v>
      </c>
      <c r="I516" s="6" t="s">
        <v>1019</v>
      </c>
      <c r="J516" s="6" t="str">
        <f>'[1]V, inciso o) (OP)'!M258</f>
        <v>J. JESÚS</v>
      </c>
      <c r="K516" s="6" t="str">
        <f>'[1]V, inciso o) (OP)'!N258</f>
        <v>CONTRERAS</v>
      </c>
      <c r="L516" s="6" t="str">
        <f>'[1]V, inciso o) (OP)'!O258</f>
        <v>VILLANUEVA</v>
      </c>
      <c r="M516" s="6" t="s">
        <v>2021</v>
      </c>
      <c r="N516" s="6" t="str">
        <f>'[1]V, inciso o) (OP)'!Q258</f>
        <v>CCO0404226D8</v>
      </c>
      <c r="O516" s="11">
        <f t="shared" si="11"/>
        <v>696102.42</v>
      </c>
      <c r="P516" s="11">
        <v>696102.44</v>
      </c>
      <c r="Q516" s="7" t="s">
        <v>1020</v>
      </c>
      <c r="R516" s="11">
        <f>H516/134.13</f>
        <v>5189.7593379557147</v>
      </c>
      <c r="S516" s="7" t="s">
        <v>41</v>
      </c>
      <c r="T516" s="12">
        <v>102</v>
      </c>
      <c r="U516" s="13" t="s">
        <v>42</v>
      </c>
      <c r="V516" s="7" t="s">
        <v>43</v>
      </c>
      <c r="W516" s="10">
        <f>'[1]V, inciso o) (OP)'!AD258</f>
        <v>43018</v>
      </c>
      <c r="X516" s="10">
        <f>'[1]V, inciso o) (OP)'!AE258</f>
        <v>43084</v>
      </c>
      <c r="Y516" s="7" t="s">
        <v>753</v>
      </c>
      <c r="Z516" s="7" t="s">
        <v>827</v>
      </c>
      <c r="AA516" s="7" t="s">
        <v>755</v>
      </c>
      <c r="AB516" s="21" t="s">
        <v>3287</v>
      </c>
      <c r="AC516" s="6" t="s">
        <v>2438</v>
      </c>
      <c r="AD516" s="6"/>
    </row>
    <row r="517" spans="1:30" ht="69.95" customHeight="1">
      <c r="A517" s="34">
        <v>243</v>
      </c>
      <c r="B517" s="7">
        <v>2017</v>
      </c>
      <c r="C517" s="7" t="s">
        <v>62</v>
      </c>
      <c r="D517" s="6" t="str">
        <f>'[1]V, inciso o) (OP)'!C259</f>
        <v>DOPI-MUN-R33R-IH-AD-243-2017</v>
      </c>
      <c r="E517" s="10">
        <f>'[1]V, inciso o) (OP)'!V259</f>
        <v>43048</v>
      </c>
      <c r="F517" s="6" t="str">
        <f>'[1]V, inciso o) (OP)'!AA259</f>
        <v>Construcción de red de drenaje en calle Las Palmas de calle Los Pinos calle Sauce en la colonia El Álamo, municipio de Zapopan, Jalisco.</v>
      </c>
      <c r="G517" s="6" t="s">
        <v>3326</v>
      </c>
      <c r="H517" s="25">
        <v>885779.68</v>
      </c>
      <c r="I517" s="6" t="s">
        <v>1021</v>
      </c>
      <c r="J517" s="6" t="str">
        <f>'[1]V, inciso o) (OP)'!M259</f>
        <v>J. JESÚS</v>
      </c>
      <c r="K517" s="6" t="str">
        <f>'[1]V, inciso o) (OP)'!N259</f>
        <v>CONTRERAS</v>
      </c>
      <c r="L517" s="6" t="str">
        <f>'[1]V, inciso o) (OP)'!O259</f>
        <v>VILLANUEVA</v>
      </c>
      <c r="M517" s="6" t="s">
        <v>2021</v>
      </c>
      <c r="N517" s="6" t="str">
        <f>'[1]V, inciso o) (OP)'!Q259</f>
        <v>CCO0404226D8</v>
      </c>
      <c r="O517" s="11">
        <f t="shared" si="11"/>
        <v>885779.68</v>
      </c>
      <c r="P517" s="11">
        <v>885779.68</v>
      </c>
      <c r="Q517" s="7" t="s">
        <v>1022</v>
      </c>
      <c r="R517" s="11">
        <f>H517/348</f>
        <v>2545.3439080459771</v>
      </c>
      <c r="S517" s="7" t="s">
        <v>41</v>
      </c>
      <c r="T517" s="12">
        <v>154</v>
      </c>
      <c r="U517" s="13" t="s">
        <v>42</v>
      </c>
      <c r="V517" s="7" t="s">
        <v>43</v>
      </c>
      <c r="W517" s="10">
        <f>'[1]V, inciso o) (OP)'!AD259</f>
        <v>43018</v>
      </c>
      <c r="X517" s="10">
        <f>'[1]V, inciso o) (OP)'!AE259</f>
        <v>43084</v>
      </c>
      <c r="Y517" s="7" t="s">
        <v>780</v>
      </c>
      <c r="Z517" s="7" t="s">
        <v>818</v>
      </c>
      <c r="AA517" s="7" t="s">
        <v>186</v>
      </c>
      <c r="AB517" s="21" t="s">
        <v>2723</v>
      </c>
      <c r="AC517" s="6" t="s">
        <v>2438</v>
      </c>
      <c r="AD517" s="6"/>
    </row>
    <row r="518" spans="1:30" ht="69.95" customHeight="1">
      <c r="A518" s="34">
        <v>244</v>
      </c>
      <c r="B518" s="7">
        <v>2017</v>
      </c>
      <c r="C518" s="7" t="s">
        <v>62</v>
      </c>
      <c r="D518" s="6" t="str">
        <f>'[1]V, inciso o) (OP)'!C260</f>
        <v>DOPI-MUN-RM-MOV-AD-244-2017</v>
      </c>
      <c r="E518" s="10">
        <f>'[1]V, inciso o) (OP)'!V260</f>
        <v>43024</v>
      </c>
      <c r="F518" s="6" t="str">
        <f>'[1]V, inciso o) (OP)'!AA260</f>
        <v>Señalización vertical y horizontal en diferentes zonas del municipio de Zapopan, Jalisco, frente 1.</v>
      </c>
      <c r="G518" s="6" t="s">
        <v>63</v>
      </c>
      <c r="H518" s="25">
        <v>1306324.03</v>
      </c>
      <c r="I518" s="6" t="s">
        <v>1317</v>
      </c>
      <c r="J518" s="6" t="str">
        <f>'[1]V, inciso o) (OP)'!M260</f>
        <v xml:space="preserve">HUGO RAFAEL </v>
      </c>
      <c r="K518" s="6" t="str">
        <f>'[1]V, inciso o) (OP)'!N260</f>
        <v>CABRERA</v>
      </c>
      <c r="L518" s="6" t="str">
        <f>'[1]V, inciso o) (OP)'!O260</f>
        <v>ORTINEZ</v>
      </c>
      <c r="M518" s="6" t="s">
        <v>3072</v>
      </c>
      <c r="N518" s="6" t="str">
        <f>'[1]V, inciso o) (OP)'!Q260</f>
        <v>CAOH671024T38</v>
      </c>
      <c r="O518" s="11">
        <f t="shared" si="11"/>
        <v>1306324.03</v>
      </c>
      <c r="P518" s="11">
        <v>1306306.5899999999</v>
      </c>
      <c r="Q518" s="7" t="s">
        <v>1023</v>
      </c>
      <c r="R518" s="11">
        <f>H518/1210.23</f>
        <v>1079.401460879337</v>
      </c>
      <c r="S518" s="7" t="s">
        <v>41</v>
      </c>
      <c r="T518" s="12">
        <v>1332272</v>
      </c>
      <c r="U518" s="13" t="s">
        <v>42</v>
      </c>
      <c r="V518" s="43" t="s">
        <v>43</v>
      </c>
      <c r="W518" s="10">
        <f>'[1]V, inciso o) (OP)'!AD260</f>
        <v>43025</v>
      </c>
      <c r="X518" s="10">
        <f>'[1]V, inciso o) (OP)'!AE260</f>
        <v>43131</v>
      </c>
      <c r="Y518" s="7" t="s">
        <v>521</v>
      </c>
      <c r="Z518" s="7" t="s">
        <v>522</v>
      </c>
      <c r="AA518" s="7" t="s">
        <v>523</v>
      </c>
      <c r="AB518" s="21" t="s">
        <v>2304</v>
      </c>
      <c r="AC518" s="6" t="s">
        <v>2438</v>
      </c>
      <c r="AD518" s="6"/>
    </row>
    <row r="519" spans="1:30" ht="69.95" customHeight="1">
      <c r="A519" s="34">
        <v>245</v>
      </c>
      <c r="B519" s="7">
        <v>2017</v>
      </c>
      <c r="C519" s="7" t="s">
        <v>62</v>
      </c>
      <c r="D519" s="6" t="str">
        <f>'[1]V, inciso o) (OP)'!C261</f>
        <v>DOPI-MUN-RM-PROY-AD-245-2017</v>
      </c>
      <c r="E519" s="10">
        <f>'[1]V, inciso o) (OP)'!V261</f>
        <v>43018</v>
      </c>
      <c r="F519" s="6" t="str">
        <f>'[1]V, inciso o) (OP)'!AA261</f>
        <v>Elaboración de proyecto ejecutivo para la construcción de alberca para rehabilitación de niños con fibrosis muscular, municipio de Zapopan, Jalisco.</v>
      </c>
      <c r="G519" s="6" t="s">
        <v>63</v>
      </c>
      <c r="H519" s="25">
        <v>445579.2</v>
      </c>
      <c r="I519" s="6" t="s">
        <v>2535</v>
      </c>
      <c r="J519" s="6" t="str">
        <f>'[1]V, inciso o) (OP)'!M261</f>
        <v>RICARDO</v>
      </c>
      <c r="K519" s="6" t="str">
        <f>'[1]V, inciso o) (OP)'!N261</f>
        <v>GONZÁLEZ</v>
      </c>
      <c r="L519" s="6" t="str">
        <f>'[1]V, inciso o) (OP)'!O261</f>
        <v>CARRANZA</v>
      </c>
      <c r="M519" s="6" t="s">
        <v>3203</v>
      </c>
      <c r="N519" s="6" t="str">
        <f>'[1]V, inciso o) (OP)'!Q261</f>
        <v>GOCR801106234</v>
      </c>
      <c r="O519" s="11">
        <f t="shared" si="11"/>
        <v>445579.2</v>
      </c>
      <c r="P519" s="11">
        <v>445579.2</v>
      </c>
      <c r="Q519" s="7" t="s">
        <v>499</v>
      </c>
      <c r="R519" s="11">
        <f>H519/1</f>
        <v>445579.2</v>
      </c>
      <c r="S519" s="7" t="s">
        <v>121</v>
      </c>
      <c r="T519" s="12" t="s">
        <v>121</v>
      </c>
      <c r="U519" s="13" t="s">
        <v>42</v>
      </c>
      <c r="V519" s="43" t="s">
        <v>43</v>
      </c>
      <c r="W519" s="10">
        <f>'[1]V, inciso o) (OP)'!AD261</f>
        <v>43019</v>
      </c>
      <c r="X519" s="10">
        <f>'[1]V, inciso o) (OP)'!AE261</f>
        <v>43063</v>
      </c>
      <c r="Y519" s="7" t="s">
        <v>680</v>
      </c>
      <c r="Z519" s="7" t="s">
        <v>681</v>
      </c>
      <c r="AA519" s="7" t="s">
        <v>132</v>
      </c>
      <c r="AB519" s="21" t="s">
        <v>2842</v>
      </c>
      <c r="AC519" s="6" t="s">
        <v>2438</v>
      </c>
      <c r="AD519" s="6"/>
    </row>
    <row r="520" spans="1:30" ht="69.95" customHeight="1">
      <c r="A520" s="34">
        <v>246</v>
      </c>
      <c r="B520" s="7">
        <v>2017</v>
      </c>
      <c r="C520" s="7" t="s">
        <v>62</v>
      </c>
      <c r="D520" s="6" t="str">
        <f>'[1]V, inciso o) (OP)'!C262</f>
        <v>DOPI-MUN-RM-IM-AD-246-2017</v>
      </c>
      <c r="E520" s="10">
        <f>'[1]V, inciso o) (OP)'!V262</f>
        <v>43039</v>
      </c>
      <c r="F520" s="6" t="str">
        <f>'[1]V, inciso o) (OP)'!AA262</f>
        <v>Remodelación de módulos de baño, construcción de caseta de ingreso y de área de estacionamiento en las oficinas de catastro ubicadas sobre Periférico Norte y Parres Arias, colonia Parque Industrial Los Belenes, municipio de Zapopan, Jalisco.</v>
      </c>
      <c r="G520" s="6" t="s">
        <v>63</v>
      </c>
      <c r="H520" s="25">
        <v>602304.06000000006</v>
      </c>
      <c r="I520" s="6" t="s">
        <v>1025</v>
      </c>
      <c r="J520" s="6" t="str">
        <f>'[1]V, inciso o) (OP)'!M262</f>
        <v>JESÚS SOCRATES</v>
      </c>
      <c r="K520" s="6" t="str">
        <f>'[1]V, inciso o) (OP)'!N262</f>
        <v>ZATARAIN</v>
      </c>
      <c r="L520" s="6" t="str">
        <f>'[1]V, inciso o) (OP)'!O262</f>
        <v>OROZCO</v>
      </c>
      <c r="M520" s="6" t="s">
        <v>3204</v>
      </c>
      <c r="N520" s="6" t="str">
        <f>'[1]V, inciso o) (OP)'!Q262</f>
        <v>ZAOJ8703019N0</v>
      </c>
      <c r="O520" s="11">
        <f t="shared" si="11"/>
        <v>602304.06000000006</v>
      </c>
      <c r="P520" s="11">
        <v>404040.70999999996</v>
      </c>
      <c r="Q520" s="7" t="s">
        <v>1026</v>
      </c>
      <c r="R520" s="11">
        <f>H520/512</f>
        <v>1176.3751171875001</v>
      </c>
      <c r="S520" s="7" t="s">
        <v>41</v>
      </c>
      <c r="T520" s="12">
        <v>1332272</v>
      </c>
      <c r="U520" s="13" t="s">
        <v>42</v>
      </c>
      <c r="V520" s="43" t="s">
        <v>43</v>
      </c>
      <c r="W520" s="10">
        <f>'[1]V, inciso o) (OP)'!AD262</f>
        <v>43040</v>
      </c>
      <c r="X520" s="10">
        <f>'[1]V, inciso o) (OP)'!AE262</f>
        <v>43100</v>
      </c>
      <c r="Y520" s="7" t="s">
        <v>1009</v>
      </c>
      <c r="Z520" s="7" t="s">
        <v>1010</v>
      </c>
      <c r="AA520" s="7" t="s">
        <v>731</v>
      </c>
      <c r="AB520" s="21" t="s">
        <v>1570</v>
      </c>
      <c r="AC520" s="6" t="s">
        <v>2438</v>
      </c>
      <c r="AD520" s="6"/>
    </row>
    <row r="521" spans="1:30" ht="69.95" customHeight="1">
      <c r="A521" s="34">
        <v>247</v>
      </c>
      <c r="B521" s="7">
        <v>2017</v>
      </c>
      <c r="C521" s="7" t="s">
        <v>62</v>
      </c>
      <c r="D521" s="6" t="str">
        <f>'[1]V, inciso o) (OP)'!C263</f>
        <v>DOPI-MUN-R33R-AP-AD-247-2017</v>
      </c>
      <c r="E521" s="10">
        <f>'[1]V, inciso o) (OP)'!V263</f>
        <v>43024</v>
      </c>
      <c r="F521" s="6" t="str">
        <f>'[1]V, inciso o) (OP)'!AA263</f>
        <v>Construcción de red de agua potable en la calle Fresno, de la calle Eucalipto a calle Encino, y calle Ciprés de la calle de los Ocotes a cerrada, en la colonia Lomas del Centinela, municipio de Zapopan, Jalisco.</v>
      </c>
      <c r="G521" s="6" t="s">
        <v>3326</v>
      </c>
      <c r="H521" s="25">
        <v>1020909.89</v>
      </c>
      <c r="I521" s="6" t="s">
        <v>868</v>
      </c>
      <c r="J521" s="6" t="str">
        <f>'[1]V, inciso o) (OP)'!M263</f>
        <v>MARÍA DE LOURDES</v>
      </c>
      <c r="K521" s="6" t="str">
        <f>'[1]V, inciso o) (OP)'!N263</f>
        <v>PARRA</v>
      </c>
      <c r="L521" s="6" t="str">
        <f>'[1]V, inciso o) (OP)'!O263</f>
        <v>PRECIADO</v>
      </c>
      <c r="M521" s="6" t="s">
        <v>1959</v>
      </c>
      <c r="N521" s="6" t="str">
        <f>'[1]V, inciso o) (OP)'!Q263</f>
        <v>CCA121113SY9</v>
      </c>
      <c r="O521" s="11">
        <f t="shared" si="11"/>
        <v>1020909.89</v>
      </c>
      <c r="P521" s="11">
        <v>982675.29</v>
      </c>
      <c r="Q521" s="7" t="s">
        <v>1027</v>
      </c>
      <c r="R521" s="11">
        <f>H521/320.08</f>
        <v>3189.5460197450639</v>
      </c>
      <c r="S521" s="7" t="s">
        <v>41</v>
      </c>
      <c r="T521" s="12">
        <v>231</v>
      </c>
      <c r="U521" s="13" t="s">
        <v>42</v>
      </c>
      <c r="V521" s="43" t="s">
        <v>43</v>
      </c>
      <c r="W521" s="10">
        <f>'[1]V, inciso o) (OP)'!AD263</f>
        <v>43025</v>
      </c>
      <c r="X521" s="10">
        <f>'[1]V, inciso o) (OP)'!AE263</f>
        <v>43089</v>
      </c>
      <c r="Y521" s="7" t="s">
        <v>753</v>
      </c>
      <c r="Z521" s="7" t="s">
        <v>827</v>
      </c>
      <c r="AA521" s="7" t="s">
        <v>755</v>
      </c>
      <c r="AB521" s="21" t="s">
        <v>2903</v>
      </c>
      <c r="AC521" s="6" t="s">
        <v>2438</v>
      </c>
      <c r="AD521" s="6"/>
    </row>
    <row r="522" spans="1:30" ht="69.95" customHeight="1">
      <c r="A522" s="34">
        <v>248</v>
      </c>
      <c r="B522" s="7">
        <v>2017</v>
      </c>
      <c r="C522" s="7" t="s">
        <v>62</v>
      </c>
      <c r="D522" s="6" t="str">
        <f>'[1]V, inciso o) (OP)'!C264</f>
        <v>DOPI-MUN-RM-IM-AD-248-2017</v>
      </c>
      <c r="E522" s="10">
        <f>'[1]V, inciso o) (OP)'!V264</f>
        <v>43019</v>
      </c>
      <c r="F522" s="32" t="str">
        <f>'[1]V, inciso o) (OP)'!AA264</f>
        <v>Construcción de barda perimetral en el Centro de Desarrollo Comunitario número 2 La Venta del Astillero, ubicado en la localidad de la Venta del Astillero; Construcción de barda perimetral poniente en el panteón municipal ubicado en Atemajac, municipio de Zapopan, Jalisco.</v>
      </c>
      <c r="G522" s="6" t="s">
        <v>63</v>
      </c>
      <c r="H522" s="25">
        <v>505254.87</v>
      </c>
      <c r="I522" s="6" t="s">
        <v>1028</v>
      </c>
      <c r="J522" s="6" t="str">
        <f>'[1]V, inciso o) (OP)'!M264</f>
        <v>JOSÉ OMAR</v>
      </c>
      <c r="K522" s="6" t="str">
        <f>'[1]V, inciso o) (OP)'!N264</f>
        <v>FERNÁNDEZ</v>
      </c>
      <c r="L522" s="6" t="str">
        <f>'[1]V, inciso o) (OP)'!O264</f>
        <v>VÁZQUEZ</v>
      </c>
      <c r="M522" s="6" t="s">
        <v>3205</v>
      </c>
      <c r="N522" s="6" t="str">
        <f>'[1]V, inciso o) (OP)'!Q264</f>
        <v>FEVO740619686</v>
      </c>
      <c r="O522" s="11">
        <f t="shared" si="11"/>
        <v>505254.87</v>
      </c>
      <c r="P522" s="11">
        <v>318345.94</v>
      </c>
      <c r="Q522" s="7" t="s">
        <v>1029</v>
      </c>
      <c r="R522" s="11">
        <f>H522/18</f>
        <v>28069.715</v>
      </c>
      <c r="S522" s="7" t="s">
        <v>41</v>
      </c>
      <c r="T522" s="12">
        <v>899</v>
      </c>
      <c r="U522" s="13" t="s">
        <v>42</v>
      </c>
      <c r="V522" s="7" t="s">
        <v>43</v>
      </c>
      <c r="W522" s="10">
        <f>'[1]V, inciso o) (OP)'!AD264</f>
        <v>43024</v>
      </c>
      <c r="X522" s="10">
        <f>'[1]V, inciso o) (OP)'!AE264</f>
        <v>43054</v>
      </c>
      <c r="Y522" s="7" t="s">
        <v>394</v>
      </c>
      <c r="Z522" s="7" t="s">
        <v>279</v>
      </c>
      <c r="AA522" s="7" t="s">
        <v>78</v>
      </c>
      <c r="AB522" s="21" t="s">
        <v>1571</v>
      </c>
      <c r="AC522" s="6" t="s">
        <v>2438</v>
      </c>
      <c r="AD522" s="6"/>
    </row>
    <row r="523" spans="1:30" ht="69.95" customHeight="1">
      <c r="A523" s="34">
        <v>252</v>
      </c>
      <c r="B523" s="7">
        <v>2017</v>
      </c>
      <c r="C523" s="7" t="s">
        <v>62</v>
      </c>
      <c r="D523" s="6" t="str">
        <f>'[1]V, inciso o) (OP)'!C265</f>
        <v>DOPI-MUN-R33R-ELE-AD-252-2017</v>
      </c>
      <c r="E523" s="10">
        <f>'[1]V, inciso o) (OP)'!V265</f>
        <v>43018</v>
      </c>
      <c r="F523" s="6" t="str">
        <f>'[1]V, inciso o) (OP)'!AA265</f>
        <v>Electrificación en las calles Sauce, Ceiba, Pirul y Santa Lucía en la colonia Jardines del Álamo, municipio de Zapopan, Jalisco.</v>
      </c>
      <c r="G523" s="6" t="s">
        <v>3326</v>
      </c>
      <c r="H523" s="25">
        <v>393288.1</v>
      </c>
      <c r="I523" s="6" t="s">
        <v>1030</v>
      </c>
      <c r="J523" s="6" t="str">
        <f>'[1]V, inciso o) (OP)'!M265</f>
        <v>JOSÉ DE JESÚS</v>
      </c>
      <c r="K523" s="6" t="str">
        <f>'[1]V, inciso o) (OP)'!N265</f>
        <v>PALAFOX</v>
      </c>
      <c r="L523" s="6" t="str">
        <f>'[1]V, inciso o) (OP)'!O265</f>
        <v>VILLEGAS</v>
      </c>
      <c r="M523" s="6" t="s">
        <v>3175</v>
      </c>
      <c r="N523" s="6" t="str">
        <f>'[1]V, inciso o) (OP)'!Q265</f>
        <v>MCO1510113H8</v>
      </c>
      <c r="O523" s="11">
        <f t="shared" si="11"/>
        <v>393288.1</v>
      </c>
      <c r="P523" s="11">
        <v>393288.09</v>
      </c>
      <c r="Q523" s="7" t="s">
        <v>1031</v>
      </c>
      <c r="R523" s="11">
        <f>H523/206</f>
        <v>1909.1655339805825</v>
      </c>
      <c r="S523" s="7" t="s">
        <v>41</v>
      </c>
      <c r="T523" s="12">
        <v>352</v>
      </c>
      <c r="U523" s="13" t="s">
        <v>42</v>
      </c>
      <c r="V523" s="43" t="s">
        <v>43</v>
      </c>
      <c r="W523" s="10">
        <f>'[1]V, inciso o) (OP)'!AD265</f>
        <v>43024</v>
      </c>
      <c r="X523" s="10">
        <f>'[1]V, inciso o) (OP)'!AE265</f>
        <v>43084</v>
      </c>
      <c r="Y523" s="7" t="s">
        <v>402</v>
      </c>
      <c r="Z523" s="7" t="s">
        <v>296</v>
      </c>
      <c r="AA523" s="7" t="s">
        <v>508</v>
      </c>
      <c r="AB523" s="21" t="s">
        <v>2902</v>
      </c>
      <c r="AC523" s="6" t="s">
        <v>2438</v>
      </c>
      <c r="AD523" s="6"/>
    </row>
    <row r="524" spans="1:30" ht="69.95" customHeight="1">
      <c r="A524" s="34">
        <v>253</v>
      </c>
      <c r="B524" s="7">
        <v>2017</v>
      </c>
      <c r="C524" s="7" t="s">
        <v>62</v>
      </c>
      <c r="D524" s="6" t="str">
        <f>'[1]V, inciso o) (OP)'!C266</f>
        <v>DOPI-MUN-R33R-ELE-AD-253-2017</v>
      </c>
      <c r="E524" s="10">
        <f>'[1]V, inciso o) (OP)'!V266</f>
        <v>43021</v>
      </c>
      <c r="F524" s="32" t="str">
        <f>'[1]V, inciso o) (OP)'!AA266</f>
        <v>Construcción de electrificación y servicios complementarios en las calles Eucalipto de Fresno a Luis Tejeda, Ciprés de Azteca a Camino a la Meza, Aztecas de Ciprés a Roble, Daniel Duarte de Eucalipto a la Meza, Humberto Chavira de Eucalipto a camino a la Meza, Las Torres de las Palmas a Carlos Rivera Aceves, José Bañuelos Guardado de las Torres a Humberto Chavira en la colonia Lomas de Centinela, municipio de Zapopan, Jalisco.</v>
      </c>
      <c r="G524" s="6" t="s">
        <v>3326</v>
      </c>
      <c r="H524" s="25">
        <v>868664.89</v>
      </c>
      <c r="I524" s="6" t="s">
        <v>868</v>
      </c>
      <c r="J524" s="6" t="str">
        <f>'[1]V, inciso o) (OP)'!M266</f>
        <v>JOSÉ DE JESÚS</v>
      </c>
      <c r="K524" s="6" t="str">
        <f>'[1]V, inciso o) (OP)'!N266</f>
        <v>MARQUEZ</v>
      </c>
      <c r="L524" s="6" t="str">
        <f>'[1]V, inciso o) (OP)'!O266</f>
        <v>ÁVILA</v>
      </c>
      <c r="M524" s="6" t="s">
        <v>3088</v>
      </c>
      <c r="N524" s="6" t="str">
        <f>'[1]V, inciso o) (OP)'!Q266</f>
        <v>FUT1110275V9</v>
      </c>
      <c r="O524" s="11">
        <f t="shared" si="11"/>
        <v>868664.89</v>
      </c>
      <c r="P524" s="11">
        <v>729508.92</v>
      </c>
      <c r="Q524" s="7" t="s">
        <v>1032</v>
      </c>
      <c r="R524" s="11">
        <f>H524/250</f>
        <v>3474.6595600000001</v>
      </c>
      <c r="S524" s="7" t="s">
        <v>41</v>
      </c>
      <c r="T524" s="12">
        <v>291</v>
      </c>
      <c r="U524" s="13" t="s">
        <v>42</v>
      </c>
      <c r="V524" s="7" t="s">
        <v>43</v>
      </c>
      <c r="W524" s="10">
        <f>'[1]V, inciso o) (OP)'!AD266</f>
        <v>43024</v>
      </c>
      <c r="X524" s="10">
        <f>'[1]V, inciso o) (OP)'!AE266</f>
        <v>43084</v>
      </c>
      <c r="Y524" s="7" t="s">
        <v>402</v>
      </c>
      <c r="Z524" s="7" t="s">
        <v>296</v>
      </c>
      <c r="AA524" s="7" t="s">
        <v>508</v>
      </c>
      <c r="AB524" s="21" t="s">
        <v>1341</v>
      </c>
      <c r="AC524" s="6" t="s">
        <v>2438</v>
      </c>
      <c r="AD524" s="6"/>
    </row>
    <row r="525" spans="1:30" ht="69.95" customHeight="1">
      <c r="A525" s="34">
        <v>254</v>
      </c>
      <c r="B525" s="7">
        <v>2017</v>
      </c>
      <c r="C525" s="6" t="str">
        <f>'[1]V, inciso p) (OP)'!B270</f>
        <v>Licitación Pública</v>
      </c>
      <c r="D525" s="6" t="str">
        <f>'[1]V, inciso p) (OP)'!D270</f>
        <v>DOPI-MUN-PP-PAV-LP-254-2017</v>
      </c>
      <c r="E525" s="10">
        <f>'[1]V, inciso p) (OP)'!AD270</f>
        <v>43089</v>
      </c>
      <c r="F525" s="32" t="str">
        <f>'[1]V, inciso p) (OP)'!AL270</f>
        <v>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1.</v>
      </c>
      <c r="G525" s="6" t="s">
        <v>63</v>
      </c>
      <c r="H525" s="25">
        <v>16107517.060000001</v>
      </c>
      <c r="I525" s="6" t="str">
        <f>'[1]V, inciso p) (OP)'!AS270</f>
        <v>Colonia Nuevo México</v>
      </c>
      <c r="J525" s="6" t="str">
        <f>'[1]V, inciso p) (OP)'!T270</f>
        <v>IGNACIO JAVIER</v>
      </c>
      <c r="K525" s="6" t="str">
        <f>'[1]V, inciso p) (OP)'!U270</f>
        <v>CURIEL</v>
      </c>
      <c r="L525" s="6" t="str">
        <f>'[1]V, inciso p) (OP)'!V270</f>
        <v>DUEÑAS</v>
      </c>
      <c r="M525" s="6" t="s">
        <v>3161</v>
      </c>
      <c r="N525" s="6" t="str">
        <f>'[1]V, inciso p) (OP)'!X270</f>
        <v>TCM100915HA1</v>
      </c>
      <c r="O525" s="11">
        <f t="shared" si="11"/>
        <v>16107517.060000001</v>
      </c>
      <c r="P525" s="11">
        <f>O525</f>
        <v>16107517.060000001</v>
      </c>
      <c r="Q525" s="7" t="s">
        <v>1033</v>
      </c>
      <c r="R525" s="11">
        <f>H525/7316</f>
        <v>2201.683578458174</v>
      </c>
      <c r="S525" s="7" t="s">
        <v>41</v>
      </c>
      <c r="T525" s="12">
        <v>23156</v>
      </c>
      <c r="U525" s="13" t="s">
        <v>42</v>
      </c>
      <c r="V525" s="7" t="s">
        <v>373</v>
      </c>
      <c r="W525" s="10">
        <f>'[1]V, inciso p) (OP)'!AM270</f>
        <v>43089</v>
      </c>
      <c r="X525" s="10">
        <f>'[1]V, inciso p) (OP)'!AN270</f>
        <v>43237</v>
      </c>
      <c r="Y525" s="7" t="s">
        <v>1034</v>
      </c>
      <c r="Z525" s="7" t="s">
        <v>1035</v>
      </c>
      <c r="AA525" s="7" t="s">
        <v>311</v>
      </c>
      <c r="AB525" s="21" t="s">
        <v>2849</v>
      </c>
      <c r="AC525" s="6" t="s">
        <v>2438</v>
      </c>
      <c r="AD525" s="6"/>
    </row>
    <row r="526" spans="1:30" ht="69.95" customHeight="1">
      <c r="A526" s="34">
        <v>255</v>
      </c>
      <c r="B526" s="7">
        <v>2017</v>
      </c>
      <c r="C526" s="6" t="str">
        <f>'[1]V, inciso p) (OP)'!B271</f>
        <v>Licitación Pública</v>
      </c>
      <c r="D526" s="6" t="str">
        <f>'[1]V, inciso p) (OP)'!D271</f>
        <v>DOPI-MUN-PP-PAV-LP-255-2017</v>
      </c>
      <c r="E526" s="10">
        <f>'[1]V, inciso p) (OP)'!AD271</f>
        <v>43089</v>
      </c>
      <c r="F526" s="32" t="str">
        <f>'[1]V, inciso p) (OP)'!AL271</f>
        <v>Pavimentación con concreto hidráulico en la Av. Guadalajara de Av. Juan Gil Preciado a Av. Ángel Leaño primera etapa, incluye: agua potable, drenaje sanitario, drenaje pluvial, guarniciones, banquetas, accesibilidad, media tensión y servicios complementarios, en el municipio de Zapopan, Jalisco, frente 2.</v>
      </c>
      <c r="G526" s="6" t="s">
        <v>63</v>
      </c>
      <c r="H526" s="25">
        <v>16489278.74</v>
      </c>
      <c r="I526" s="6" t="str">
        <f>'[1]V, inciso p) (OP)'!AS271</f>
        <v>Colonia Nuevo México</v>
      </c>
      <c r="J526" s="6" t="str">
        <f>'[1]V, inciso p) (OP)'!T271</f>
        <v>ARTURO</v>
      </c>
      <c r="K526" s="6" t="str">
        <f>'[1]V, inciso p) (OP)'!U271</f>
        <v>SARMIENTO</v>
      </c>
      <c r="L526" s="6" t="str">
        <f>'[1]V, inciso p) (OP)'!V271</f>
        <v>SÁNCHEZ</v>
      </c>
      <c r="M526" s="6" t="s">
        <v>2068</v>
      </c>
      <c r="N526" s="6" t="str">
        <f>'[1]V, inciso p) (OP)'!X271</f>
        <v>CON020208696</v>
      </c>
      <c r="O526" s="11">
        <f t="shared" si="11"/>
        <v>16489278.74</v>
      </c>
      <c r="P526" s="11">
        <v>16489278.740000002</v>
      </c>
      <c r="Q526" s="7" t="s">
        <v>1033</v>
      </c>
      <c r="R526" s="11">
        <f>H526/7316</f>
        <v>2253.865328048114</v>
      </c>
      <c r="S526" s="7" t="s">
        <v>41</v>
      </c>
      <c r="T526" s="12">
        <v>23156</v>
      </c>
      <c r="U526" s="13" t="s">
        <v>42</v>
      </c>
      <c r="V526" s="43" t="s">
        <v>43</v>
      </c>
      <c r="W526" s="10">
        <f>'[1]V, inciso p) (OP)'!AM271</f>
        <v>43089</v>
      </c>
      <c r="X526" s="10">
        <f>'[1]V, inciso p) (OP)'!AN271</f>
        <v>43237</v>
      </c>
      <c r="Y526" s="7" t="s">
        <v>1034</v>
      </c>
      <c r="Z526" s="7" t="s">
        <v>1035</v>
      </c>
      <c r="AA526" s="7" t="s">
        <v>311</v>
      </c>
      <c r="AB526" s="21" t="s">
        <v>1328</v>
      </c>
      <c r="AC526" s="6" t="s">
        <v>2438</v>
      </c>
      <c r="AD526" s="6"/>
    </row>
    <row r="527" spans="1:30" ht="69.95" customHeight="1">
      <c r="A527" s="34">
        <v>256</v>
      </c>
      <c r="B527" s="7">
        <v>2017</v>
      </c>
      <c r="C527" s="6" t="str">
        <f>'[1]V, inciso p) (OP)'!B272</f>
        <v>Licitación Pública</v>
      </c>
      <c r="D527" s="6" t="str">
        <f>'[1]V, inciso p) (OP)'!D272</f>
        <v>DOPI-MUN-PP-PAV-LP-256-2017</v>
      </c>
      <c r="E527" s="10">
        <f>'[1]V, inciso p) (OP)'!AD272</f>
        <v>43089</v>
      </c>
      <c r="F527" s="6" t="str">
        <f>'[1]V, inciso p) (OP)'!AL272</f>
        <v>Pavimentación con concreto hidráulico de los carriles centrales en la Av. López Mateos en el tramo de Av. Copérnico a la Av. La Giralda, incluye: infraestructura hidráulica, municipio de Zapopan, Jalisco.</v>
      </c>
      <c r="G527" s="6" t="s">
        <v>63</v>
      </c>
      <c r="H527" s="25">
        <v>24179375.460000001</v>
      </c>
      <c r="I527" s="6" t="str">
        <f>'[1]V, inciso p) (OP)'!AS272</f>
        <v>Colonia La Calma</v>
      </c>
      <c r="J527" s="6" t="str">
        <f>'[1]V, inciso p) (OP)'!T272</f>
        <v>ANA KARINA</v>
      </c>
      <c r="K527" s="6" t="str">
        <f>'[1]V, inciso p) (OP)'!U272</f>
        <v>OJEDA</v>
      </c>
      <c r="L527" s="6" t="str">
        <f>'[1]V, inciso p) (OP)'!V272</f>
        <v>FERRELL</v>
      </c>
      <c r="M527" s="6" t="s">
        <v>3189</v>
      </c>
      <c r="N527" s="6" t="str">
        <f>'[1]V, inciso p) (OP)'!X272</f>
        <v>KCI120928CD5</v>
      </c>
      <c r="O527" s="11">
        <f t="shared" si="11"/>
        <v>24179375.460000001</v>
      </c>
      <c r="P527" s="11">
        <v>20114602.09</v>
      </c>
      <c r="Q527" s="7" t="s">
        <v>1036</v>
      </c>
      <c r="R527" s="11">
        <f>H527/13920</f>
        <v>1737.024099137931</v>
      </c>
      <c r="S527" s="7" t="s">
        <v>41</v>
      </c>
      <c r="T527" s="12">
        <v>1332272</v>
      </c>
      <c r="U527" s="13" t="s">
        <v>42</v>
      </c>
      <c r="V527" s="43" t="s">
        <v>43</v>
      </c>
      <c r="W527" s="10">
        <f>'[1]V, inciso p) (OP)'!AM272</f>
        <v>43089</v>
      </c>
      <c r="X527" s="10">
        <f>'[1]V, inciso p) (OP)'!AN272</f>
        <v>43192</v>
      </c>
      <c r="Y527" s="7" t="s">
        <v>722</v>
      </c>
      <c r="Z527" s="7" t="s">
        <v>231</v>
      </c>
      <c r="AA527" s="7" t="s">
        <v>143</v>
      </c>
      <c r="AB527" s="21" t="s">
        <v>2901</v>
      </c>
      <c r="AC527" s="6" t="s">
        <v>2438</v>
      </c>
      <c r="AD527" s="6"/>
    </row>
    <row r="528" spans="1:30" ht="69.95" customHeight="1">
      <c r="A528" s="34">
        <v>257</v>
      </c>
      <c r="B528" s="7">
        <v>2017</v>
      </c>
      <c r="C528" s="6" t="str">
        <f>'[1]V, inciso p) (OP)'!B273</f>
        <v>Licitación Pública</v>
      </c>
      <c r="D528" s="6" t="str">
        <f>'[1]V, inciso p) (OP)'!D273</f>
        <v>DOPI-MUN-PP-PAV-LP-257-2017</v>
      </c>
      <c r="E528" s="10">
        <f>'[1]V, inciso p) (OP)'!AD273</f>
        <v>43089</v>
      </c>
      <c r="F528" s="6" t="str">
        <f>'[1]V, inciso p) (OP)'!AL273</f>
        <v>Pavimentación con concreto hidráulico de los carriles centrales en la Av. López Mateos en el tramo de Av. La Giralda al límite municipal, incluye: infraestructura hidráulica, municipio de Zapopan, Jalisco.</v>
      </c>
      <c r="G528" s="6" t="s">
        <v>63</v>
      </c>
      <c r="H528" s="25">
        <v>21165119.91</v>
      </c>
      <c r="I528" s="6" t="str">
        <f>'[1]V, inciso p) (OP)'!AS273</f>
        <v>Colonia Rinconada del Sol</v>
      </c>
      <c r="J528" s="6" t="str">
        <f>'[1]V, inciso p) (OP)'!T273</f>
        <v>ALEJANDRO</v>
      </c>
      <c r="K528" s="6" t="str">
        <f>'[1]V, inciso p) (OP)'!U273</f>
        <v>GUEVARA</v>
      </c>
      <c r="L528" s="6" t="str">
        <f>'[1]V, inciso p) (OP)'!V273</f>
        <v>CASTELLANOS</v>
      </c>
      <c r="M528" s="6" t="s">
        <v>3206</v>
      </c>
      <c r="N528" s="6" t="str">
        <f>'[1]V, inciso p) (OP)'!X273</f>
        <v>UCA0207107X6</v>
      </c>
      <c r="O528" s="11">
        <f t="shared" si="11"/>
        <v>21165119.91</v>
      </c>
      <c r="P528" s="11">
        <v>20174498.390000001</v>
      </c>
      <c r="Q528" s="7" t="s">
        <v>1037</v>
      </c>
      <c r="R528" s="11">
        <f>H528/12112</f>
        <v>1747.4504549207397</v>
      </c>
      <c r="S528" s="7" t="s">
        <v>41</v>
      </c>
      <c r="T528" s="12">
        <v>1332272</v>
      </c>
      <c r="U528" s="13" t="s">
        <v>42</v>
      </c>
      <c r="V528" s="43" t="s">
        <v>43</v>
      </c>
      <c r="W528" s="10">
        <f>'[1]V, inciso p) (OP)'!AM273</f>
        <v>43089</v>
      </c>
      <c r="X528" s="10">
        <f>'[1]V, inciso p) (OP)'!AN273</f>
        <v>43192</v>
      </c>
      <c r="Y528" s="7" t="s">
        <v>722</v>
      </c>
      <c r="Z528" s="7" t="s">
        <v>231</v>
      </c>
      <c r="AA528" s="7" t="s">
        <v>143</v>
      </c>
      <c r="AB528" s="21" t="s">
        <v>2900</v>
      </c>
      <c r="AC528" s="6" t="s">
        <v>2438</v>
      </c>
      <c r="AD528" s="6"/>
    </row>
    <row r="529" spans="1:30" ht="69.95" customHeight="1">
      <c r="A529" s="34">
        <v>258</v>
      </c>
      <c r="B529" s="7">
        <v>2017</v>
      </c>
      <c r="C529" s="6" t="str">
        <f>'[1]V, inciso p) (OP)'!B274</f>
        <v>Licitación Pública</v>
      </c>
      <c r="D529" s="6" t="str">
        <f>'[1]V, inciso p) (OP)'!D274</f>
        <v>DOPI-MUN-CUSMAX-PAV-LP-258-2017</v>
      </c>
      <c r="E529" s="10">
        <f>'[1]V, inciso p) (OP)'!AD274</f>
        <v>43089</v>
      </c>
      <c r="F529" s="6" t="str">
        <f>'[1]V, inciso p) (OP)'!AL274</f>
        <v>Construcción de crucero seguro en Av. Patria con Av. Puerta de Hierro - San Florencio -Paseo Royal Country, municipio de Zapopan, Jalisco.</v>
      </c>
      <c r="G529" s="6" t="s">
        <v>3332</v>
      </c>
      <c r="H529" s="25">
        <v>5743782.21</v>
      </c>
      <c r="I529" s="6" t="str">
        <f>'[1]V, inciso p) (OP)'!AS274</f>
        <v>Colonia San Bernardo</v>
      </c>
      <c r="J529" s="6" t="str">
        <f>'[1]V, inciso p) (OP)'!T274</f>
        <v>OMAR</v>
      </c>
      <c r="K529" s="6" t="str">
        <f>'[1]V, inciso p) (OP)'!U274</f>
        <v>MORA</v>
      </c>
      <c r="L529" s="6" t="str">
        <f>'[1]V, inciso p) (OP)'!V274</f>
        <v>MONTES DE OCA</v>
      </c>
      <c r="M529" s="6" t="s">
        <v>3178</v>
      </c>
      <c r="N529" s="6" t="str">
        <f>'[1]V, inciso p) (OP)'!X274</f>
        <v>DCO130215C16</v>
      </c>
      <c r="O529" s="11">
        <f t="shared" si="11"/>
        <v>5743782.21</v>
      </c>
      <c r="P529" s="11">
        <v>5692005.209999999</v>
      </c>
      <c r="Q529" s="7" t="s">
        <v>1038</v>
      </c>
      <c r="R529" s="11">
        <f>H529/3608</f>
        <v>1591.9573752771619</v>
      </c>
      <c r="S529" s="7" t="s">
        <v>41</v>
      </c>
      <c r="T529" s="12">
        <v>362158</v>
      </c>
      <c r="U529" s="13" t="s">
        <v>42</v>
      </c>
      <c r="V529" s="43" t="s">
        <v>43</v>
      </c>
      <c r="W529" s="10">
        <f>'[1]V, inciso p) (OP)'!AM274</f>
        <v>43089</v>
      </c>
      <c r="X529" s="10">
        <f>'[1]V, inciso p) (OP)'!AN274</f>
        <v>43176</v>
      </c>
      <c r="Y529" s="7" t="s">
        <v>317</v>
      </c>
      <c r="Z529" s="7" t="s">
        <v>191</v>
      </c>
      <c r="AA529" s="7" t="s">
        <v>68</v>
      </c>
      <c r="AB529" s="21" t="s">
        <v>1329</v>
      </c>
      <c r="AC529" s="6" t="s">
        <v>2438</v>
      </c>
      <c r="AD529" s="6"/>
    </row>
    <row r="530" spans="1:30" ht="69.95" customHeight="1">
      <c r="A530" s="34">
        <v>259</v>
      </c>
      <c r="B530" s="7">
        <v>2017</v>
      </c>
      <c r="C530" s="6" t="str">
        <f>'[1]V, inciso p) (OP)'!B275</f>
        <v>Licitación Pública</v>
      </c>
      <c r="D530" s="6" t="str">
        <f>'[1]V, inciso p) (OP)'!D275</f>
        <v>DOPI-MUN-RM-PAV-LP-259-2017</v>
      </c>
      <c r="E530" s="10">
        <f>'[1]V, inciso p) (OP)'!AD275</f>
        <v>43089</v>
      </c>
      <c r="F530" s="6" t="str">
        <f>'[1]V, inciso p) (OP)'!AL275</f>
        <v>Pavimentación de vialidad Eva Briseño, incluye: guarniciones, banquetas, red de agua potable y alcantarillado y servicios complementarios, en la colonia Santa Fe, municipio de Zapopan, Jalisco. Frente 1.</v>
      </c>
      <c r="G530" s="6" t="s">
        <v>63</v>
      </c>
      <c r="H530" s="25">
        <v>6228028.5600000005</v>
      </c>
      <c r="I530" s="6" t="str">
        <f>'[1]V, inciso p) (OP)'!AS275</f>
        <v>Colonia Guadalajarita</v>
      </c>
      <c r="J530" s="6" t="str">
        <f>'[1]V, inciso p) (OP)'!T275</f>
        <v>ALEX</v>
      </c>
      <c r="K530" s="6" t="str">
        <f>'[1]V, inciso p) (OP)'!U275</f>
        <v>MEDINA</v>
      </c>
      <c r="L530" s="6" t="str">
        <f>'[1]V, inciso p) (OP)'!V275</f>
        <v>GÓMEZ</v>
      </c>
      <c r="M530" s="6" t="s">
        <v>3207</v>
      </c>
      <c r="N530" s="6" t="str">
        <f>'[1]V, inciso p) (OP)'!X275</f>
        <v>MCO150527NY3</v>
      </c>
      <c r="O530" s="11">
        <f t="shared" si="11"/>
        <v>6228028.5600000005</v>
      </c>
      <c r="P530" s="11">
        <v>6228028.5600000005</v>
      </c>
      <c r="Q530" s="12" t="s">
        <v>1039</v>
      </c>
      <c r="R530" s="11">
        <f>H530/3013</f>
        <v>2067.0522933952871</v>
      </c>
      <c r="S530" s="7" t="s">
        <v>41</v>
      </c>
      <c r="T530" s="12">
        <v>1332272</v>
      </c>
      <c r="U530" s="13" t="s">
        <v>42</v>
      </c>
      <c r="V530" s="43" t="s">
        <v>43</v>
      </c>
      <c r="W530" s="10">
        <f>'[1]V, inciso p) (OP)'!AM275</f>
        <v>43089</v>
      </c>
      <c r="X530" s="10">
        <f>'[1]V, inciso p) (OP)'!AN275</f>
        <v>43222</v>
      </c>
      <c r="Y530" s="7" t="s">
        <v>431</v>
      </c>
      <c r="Z530" s="7" t="s">
        <v>181</v>
      </c>
      <c r="AA530" s="7" t="s">
        <v>89</v>
      </c>
      <c r="AB530" s="21" t="s">
        <v>2899</v>
      </c>
      <c r="AC530" s="6" t="s">
        <v>2438</v>
      </c>
      <c r="AD530" s="6"/>
    </row>
    <row r="531" spans="1:30" ht="69.95" customHeight="1">
      <c r="A531" s="34">
        <v>260</v>
      </c>
      <c r="B531" s="7">
        <v>2017</v>
      </c>
      <c r="C531" s="6" t="str">
        <f>'[1]V, inciso p) (OP)'!B276</f>
        <v>Licitación Pública</v>
      </c>
      <c r="D531" s="6" t="str">
        <f>'[1]V, inciso p) (OP)'!D276</f>
        <v>DOPI-MUN-RM-PAV-LP-260-2017</v>
      </c>
      <c r="E531" s="10">
        <f>'[1]V, inciso p) (OP)'!AD276</f>
        <v>43089</v>
      </c>
      <c r="F531" s="6" t="str">
        <f>'[1]V, inciso p) (OP)'!AL276</f>
        <v>Pavimentación de vialidad Eva Briseño, incluye: guarniciones, banquetas, red de agua potable y alcantarillado y servicios complementarios, en la colonia Santa Fe, municipio de Zapopan, Jalisco. Frente 2.</v>
      </c>
      <c r="G531" s="6" t="s">
        <v>63</v>
      </c>
      <c r="H531" s="25">
        <v>6151466.04</v>
      </c>
      <c r="I531" s="6" t="str">
        <f>'[1]V, inciso p) (OP)'!AS276</f>
        <v>Colonia Guadalajarita</v>
      </c>
      <c r="J531" s="6" t="str">
        <f>'[1]V, inciso p) (OP)'!T276</f>
        <v>ARTURO</v>
      </c>
      <c r="K531" s="6" t="str">
        <f>'[1]V, inciso p) (OP)'!U276</f>
        <v>SARMIENTO</v>
      </c>
      <c r="L531" s="6" t="str">
        <f>'[1]V, inciso p) (OP)'!V276</f>
        <v>SÁNCHEZ</v>
      </c>
      <c r="M531" s="6" t="s">
        <v>2068</v>
      </c>
      <c r="N531" s="6" t="str">
        <f>'[1]V, inciso p) (OP)'!X276</f>
        <v>CON020208696</v>
      </c>
      <c r="O531" s="11">
        <f t="shared" si="11"/>
        <v>6151466.04</v>
      </c>
      <c r="P531" s="11">
        <v>6151466.0500000007</v>
      </c>
      <c r="Q531" s="12" t="s">
        <v>1039</v>
      </c>
      <c r="R531" s="11">
        <f>H531/3013</f>
        <v>2041.6415665449717</v>
      </c>
      <c r="S531" s="7" t="s">
        <v>41</v>
      </c>
      <c r="T531" s="12">
        <v>1332272</v>
      </c>
      <c r="U531" s="13" t="s">
        <v>42</v>
      </c>
      <c r="V531" s="43" t="s">
        <v>43</v>
      </c>
      <c r="W531" s="10">
        <f>'[1]V, inciso p) (OP)'!AM276</f>
        <v>43089</v>
      </c>
      <c r="X531" s="10">
        <f>'[1]V, inciso p) (OP)'!AN276</f>
        <v>43253</v>
      </c>
      <c r="Y531" s="7" t="s">
        <v>431</v>
      </c>
      <c r="Z531" s="7" t="s">
        <v>181</v>
      </c>
      <c r="AA531" s="7" t="s">
        <v>89</v>
      </c>
      <c r="AB531" s="21" t="s">
        <v>2898</v>
      </c>
      <c r="AC531" s="6" t="s">
        <v>2438</v>
      </c>
      <c r="AD531" s="6"/>
    </row>
    <row r="532" spans="1:30" ht="69.95" customHeight="1">
      <c r="A532" s="34">
        <v>261</v>
      </c>
      <c r="B532" s="7">
        <v>2017</v>
      </c>
      <c r="C532" s="6" t="str">
        <f>'[1]V, inciso p) (OP)'!B277</f>
        <v>Licitación Pública</v>
      </c>
      <c r="D532" s="6" t="str">
        <f>'[1]V, inciso p) (OP)'!D277</f>
        <v>DOPI-MUN-RM-PAV-LP-261-2017</v>
      </c>
      <c r="E532" s="10">
        <f>'[1]V, inciso p) (OP)'!AD277</f>
        <v>43089</v>
      </c>
      <c r="F532" s="6" t="str">
        <f>'[1]V, inciso p) (OP)'!AL277</f>
        <v>Pavimentación de vialidad Eva Briseño, incluye: guarniciones, banquetas, red de agua potable y alcantarillado y servicios complementarios, en la colonia Santa Fe, municipio de Zapopan, Jalisco. Frente 3.</v>
      </c>
      <c r="G532" s="6" t="s">
        <v>63</v>
      </c>
      <c r="H532" s="25">
        <v>6169790.21</v>
      </c>
      <c r="I532" s="6" t="str">
        <f>'[1]V, inciso p) (OP)'!AS277</f>
        <v>Colonia Guadalajarita</v>
      </c>
      <c r="J532" s="6" t="str">
        <f>'[1]V, inciso p) (OP)'!T277</f>
        <v>CARLOS IGNACIO</v>
      </c>
      <c r="K532" s="6" t="str">
        <f>'[1]V, inciso p) (OP)'!U277</f>
        <v>CURIEL</v>
      </c>
      <c r="L532" s="6" t="str">
        <f>'[1]V, inciso p) (OP)'!V277</f>
        <v>DUEÑAS</v>
      </c>
      <c r="M532" s="6" t="s">
        <v>1987</v>
      </c>
      <c r="N532" s="6" t="str">
        <f>'[1]V, inciso p) (OP)'!X277</f>
        <v>CCE130723IR7</v>
      </c>
      <c r="O532" s="11">
        <f t="shared" si="11"/>
        <v>6169790.21</v>
      </c>
      <c r="P532" s="11">
        <v>6169790.2199999997</v>
      </c>
      <c r="Q532" s="12" t="s">
        <v>1039</v>
      </c>
      <c r="R532" s="11">
        <f>H532/3013</f>
        <v>2047.7232691669433</v>
      </c>
      <c r="S532" s="7" t="s">
        <v>41</v>
      </c>
      <c r="T532" s="12">
        <v>1332272</v>
      </c>
      <c r="U532" s="13" t="s">
        <v>42</v>
      </c>
      <c r="V532" s="43" t="s">
        <v>43</v>
      </c>
      <c r="W532" s="10">
        <f>'[1]V, inciso p) (OP)'!AM277</f>
        <v>43089</v>
      </c>
      <c r="X532" s="10">
        <f>'[1]V, inciso p) (OP)'!AN277</f>
        <v>43253</v>
      </c>
      <c r="Y532" s="7" t="s">
        <v>431</v>
      </c>
      <c r="Z532" s="7" t="s">
        <v>181</v>
      </c>
      <c r="AA532" s="7" t="s">
        <v>89</v>
      </c>
      <c r="AB532" s="21" t="s">
        <v>2897</v>
      </c>
      <c r="AC532" s="6" t="s">
        <v>2438</v>
      </c>
      <c r="AD532" s="6"/>
    </row>
    <row r="533" spans="1:30" ht="69.95" customHeight="1">
      <c r="A533" s="34">
        <v>262</v>
      </c>
      <c r="B533" s="7">
        <v>2017</v>
      </c>
      <c r="C533" s="6" t="str">
        <f>'[1]V, inciso p) (OP)'!B278</f>
        <v>Licitación Pública</v>
      </c>
      <c r="D533" s="6" t="str">
        <f>'[1]V, inciso p) (OP)'!D278</f>
        <v>DOPI-MUN-RM-PAV-LP-262-2017</v>
      </c>
      <c r="E533" s="10">
        <f>'[1]V, inciso p) (OP)'!AD278</f>
        <v>43089</v>
      </c>
      <c r="F533" s="32" t="str">
        <f>'[1]V, inciso p) (OP)'!AL278</f>
        <v>Pavimentación de vialidad 5 de Mayo de Av. Aviación hacía camino Real a Zapopan, incluye: guarniciones, banquetas, red de agua potable y alcantarillado y servicios complementarios, en la colonia San Juan de Ocotán, municipio de Zapopan, Jalisco. Frente 1.</v>
      </c>
      <c r="G533" s="6" t="s">
        <v>63</v>
      </c>
      <c r="H533" s="25">
        <v>7373309.3899999997</v>
      </c>
      <c r="I533" s="6" t="str">
        <f>'[1]V, inciso p) (OP)'!AS278</f>
        <v>Colonia San Juan de Ocotán</v>
      </c>
      <c r="J533" s="6" t="str">
        <f>'[1]V, inciso p) (OP)'!T278</f>
        <v>HAYDEE LILIANA</v>
      </c>
      <c r="K533" s="6" t="str">
        <f>'[1]V, inciso p) (OP)'!U278</f>
        <v>AGUILAR</v>
      </c>
      <c r="L533" s="6" t="str">
        <f>'[1]V, inciso p) (OP)'!V278</f>
        <v>CASSIAN</v>
      </c>
      <c r="M533" s="6" t="s">
        <v>1690</v>
      </c>
      <c r="N533" s="6" t="str">
        <f>'[1]V, inciso p) (OP)'!X278</f>
        <v>EDM970225I68</v>
      </c>
      <c r="O533" s="11">
        <f t="shared" si="11"/>
        <v>7373309.3899999997</v>
      </c>
      <c r="P533" s="11">
        <v>7373309.4100000001</v>
      </c>
      <c r="Q533" s="7" t="s">
        <v>1040</v>
      </c>
      <c r="R533" s="11">
        <f>H533/3372</f>
        <v>2186.6279329774616</v>
      </c>
      <c r="S533" s="7" t="s">
        <v>41</v>
      </c>
      <c r="T533" s="12">
        <v>6232</v>
      </c>
      <c r="U533" s="13" t="s">
        <v>42</v>
      </c>
      <c r="V533" s="43" t="s">
        <v>43</v>
      </c>
      <c r="W533" s="10">
        <f>'[1]V, inciso p) (OP)'!AM278</f>
        <v>43089</v>
      </c>
      <c r="X533" s="10">
        <f>'[1]V, inciso p) (OP)'!AN278</f>
        <v>43253</v>
      </c>
      <c r="Y533" s="7" t="s">
        <v>394</v>
      </c>
      <c r="Z533" s="7" t="s">
        <v>279</v>
      </c>
      <c r="AA533" s="7" t="s">
        <v>78</v>
      </c>
      <c r="AB533" s="21" t="s">
        <v>2896</v>
      </c>
      <c r="AC533" s="6" t="s">
        <v>2438</v>
      </c>
      <c r="AD533" s="6"/>
    </row>
    <row r="534" spans="1:30" ht="69.95" customHeight="1">
      <c r="A534" s="34">
        <v>267</v>
      </c>
      <c r="B534" s="7">
        <v>2017</v>
      </c>
      <c r="C534" s="6" t="str">
        <f>'[1]V, inciso p) (OP)'!B279</f>
        <v>Licitación por Invitación Restringida</v>
      </c>
      <c r="D534" s="6" t="str">
        <f>'[1]V, inciso p) (OP)'!D279</f>
        <v>DOPI-MUN-RM-BAN-CI-267-2017</v>
      </c>
      <c r="E534" s="10">
        <f>'[1]V, inciso p) (OP)'!AD279</f>
        <v>43056</v>
      </c>
      <c r="F534" s="6" t="str">
        <f>'[1]V, inciso p) (OP)'!AL279</f>
        <v>Peatonalización en la Colonia Loma Bonita Residencial, incluye: machuelos, banquetas, accesibilidad, bolardos y nomenclatura, municipio de Zapopan, Jalisco.</v>
      </c>
      <c r="G534" s="6" t="s">
        <v>63</v>
      </c>
      <c r="H534" s="25">
        <v>2199415.2999999998</v>
      </c>
      <c r="I534" s="6" t="str">
        <f>'[1]V, inciso p) (OP)'!AS279</f>
        <v>Colonia Loma Bonita Residencial</v>
      </c>
      <c r="J534" s="6" t="str">
        <f>'[1]V, inciso p) (OP)'!T279</f>
        <v xml:space="preserve">GUILLERMO </v>
      </c>
      <c r="K534" s="6" t="str">
        <f>'[1]V, inciso p) (OP)'!U279</f>
        <v>RODRÍGUEZ</v>
      </c>
      <c r="L534" s="6" t="str">
        <f>'[1]V, inciso p) (OP)'!V279</f>
        <v>MEZA</v>
      </c>
      <c r="M534" s="6" t="s">
        <v>3097</v>
      </c>
      <c r="N534" s="6" t="str">
        <f>'[1]V, inciso p) (OP)'!X279</f>
        <v>CAJ1208151M8</v>
      </c>
      <c r="O534" s="11">
        <f t="shared" si="11"/>
        <v>2199415.2999999998</v>
      </c>
      <c r="P534" s="11">
        <v>2199337.7800000003</v>
      </c>
      <c r="Q534" s="14" t="s">
        <v>1041</v>
      </c>
      <c r="R534" s="15">
        <f>H534/1653.81</f>
        <v>1329.9080910140826</v>
      </c>
      <c r="S534" s="7" t="s">
        <v>41</v>
      </c>
      <c r="T534" s="12">
        <v>2602</v>
      </c>
      <c r="U534" s="13" t="s">
        <v>42</v>
      </c>
      <c r="V534" s="43" t="s">
        <v>43</v>
      </c>
      <c r="W534" s="10">
        <f>'[1]V, inciso p) (OP)'!AM279</f>
        <v>43059</v>
      </c>
      <c r="X534" s="10">
        <f>'[1]V, inciso p) (OP)'!AN279</f>
        <v>43148</v>
      </c>
      <c r="Y534" s="7" t="s">
        <v>375</v>
      </c>
      <c r="Z534" s="7" t="s">
        <v>252</v>
      </c>
      <c r="AA534" s="7" t="s">
        <v>253</v>
      </c>
      <c r="AB534" s="21" t="s">
        <v>2895</v>
      </c>
      <c r="AC534" s="6" t="s">
        <v>2438</v>
      </c>
      <c r="AD534" s="6"/>
    </row>
    <row r="535" spans="1:30" ht="69.95" customHeight="1">
      <c r="A535" s="34">
        <v>268</v>
      </c>
      <c r="B535" s="7">
        <v>2017</v>
      </c>
      <c r="C535" s="6" t="str">
        <f>'[1]V, inciso p) (OP)'!B280</f>
        <v>Licitación por Invitación Restringida</v>
      </c>
      <c r="D535" s="6" t="str">
        <f>'[1]V, inciso p) (OP)'!D280</f>
        <v>DOPI-MUN-RM-PAV-CI-268-2017</v>
      </c>
      <c r="E535" s="10">
        <f>'[1]V, inciso p) (OP)'!AD280</f>
        <v>43056</v>
      </c>
      <c r="F535" s="6" t="str">
        <f>'[1]V, inciso p) (OP)'!AL280</f>
        <v>Construcción de pavimento de concreto hidráulico, banquetas, adecuaciones de la red sanitaria e hidráulica, en la Av. D, colonia El Tigre II, municipio de Zapopan, Jalisco, tramo 3.</v>
      </c>
      <c r="G535" s="6" t="s">
        <v>63</v>
      </c>
      <c r="H535" s="25">
        <v>2482599.62</v>
      </c>
      <c r="I535" s="6" t="str">
        <f>'[1]V, inciso p) (OP)'!AS280</f>
        <v>Colonia El Tigre II</v>
      </c>
      <c r="J535" s="6" t="str">
        <f>'[1]V, inciso p) (OP)'!T280</f>
        <v>JOEL</v>
      </c>
      <c r="K535" s="6" t="str">
        <f>'[1]V, inciso p) (OP)'!U280</f>
        <v>ZULOAGA</v>
      </c>
      <c r="L535" s="6" t="str">
        <f>'[1]V, inciso p) (OP)'!V280</f>
        <v>ACEVES</v>
      </c>
      <c r="M535" s="6" t="s">
        <v>3208</v>
      </c>
      <c r="N535" s="6" t="str">
        <f>'[1]V, inciso p) (OP)'!X280</f>
        <v>TSC100210E48</v>
      </c>
      <c r="O535" s="11">
        <f t="shared" si="11"/>
        <v>2482599.62</v>
      </c>
      <c r="P535" s="11">
        <v>2304258.9900000002</v>
      </c>
      <c r="Q535" s="14" t="s">
        <v>1042</v>
      </c>
      <c r="R535" s="15">
        <f>H535/2670</f>
        <v>929.81259176029971</v>
      </c>
      <c r="S535" s="7" t="s">
        <v>41</v>
      </c>
      <c r="T535" s="12">
        <v>365</v>
      </c>
      <c r="U535" s="13" t="s">
        <v>42</v>
      </c>
      <c r="V535" s="7" t="s">
        <v>43</v>
      </c>
      <c r="W535" s="10">
        <f>'[1]V, inciso p) (OP)'!AM280</f>
        <v>43059</v>
      </c>
      <c r="X535" s="10">
        <f>'[1]V, inciso p) (OP)'!AN280</f>
        <v>43105</v>
      </c>
      <c r="Y535" s="7" t="s">
        <v>380</v>
      </c>
      <c r="Z535" s="7" t="s">
        <v>45</v>
      </c>
      <c r="AA535" s="7" t="s">
        <v>46</v>
      </c>
      <c r="AB535" s="21" t="s">
        <v>2894</v>
      </c>
      <c r="AC535" s="6" t="s">
        <v>2438</v>
      </c>
      <c r="AD535" s="6"/>
    </row>
    <row r="536" spans="1:30" ht="69.95" customHeight="1">
      <c r="A536" s="34">
        <v>269</v>
      </c>
      <c r="B536" s="7">
        <v>2017</v>
      </c>
      <c r="C536" s="6" t="str">
        <f>'[1]V, inciso p) (OP)'!B281</f>
        <v>Licitación por Invitación Restringida</v>
      </c>
      <c r="D536" s="6" t="str">
        <f>'[1]V, inciso p) (OP)'!D281</f>
        <v>DOPI-MUN-CUSMAX-BAN-CI-269-2017</v>
      </c>
      <c r="E536" s="10">
        <f>'[1]V, inciso p) (OP)'!AD281</f>
        <v>43056</v>
      </c>
      <c r="F536" s="6" t="str">
        <f>'[1]V, inciso p) (OP)'!AL281</f>
        <v>Primera etapa de la peatonalización en la colonia Residencial Victoria (incluye: machuelos, banquetas, accesibilidad universal, bolardos y nomenclatura), municipio de Zapopan, Jalisco.</v>
      </c>
      <c r="G536" s="6" t="s">
        <v>3332</v>
      </c>
      <c r="H536" s="25">
        <v>1924671.62</v>
      </c>
      <c r="I536" s="6" t="str">
        <f>'[1]V, inciso p) (OP)'!AS281</f>
        <v>Colonia Residencial Victoria</v>
      </c>
      <c r="J536" s="6" t="str">
        <f>'[1]V, inciso p) (OP)'!T281</f>
        <v>HÉCTOR MARIO</v>
      </c>
      <c r="K536" s="6" t="str">
        <f>'[1]V, inciso p) (OP)'!U281</f>
        <v>GÓMEZ</v>
      </c>
      <c r="L536" s="6" t="str">
        <f>'[1]V, inciso p) (OP)'!V281</f>
        <v>GALVARRIATO FREER</v>
      </c>
      <c r="M536" s="6" t="s">
        <v>1924</v>
      </c>
      <c r="N536" s="6" t="str">
        <f>'[1]V, inciso p) (OP)'!X281</f>
        <v>EAP000106BW7</v>
      </c>
      <c r="O536" s="11">
        <f t="shared" si="11"/>
        <v>1924671.62</v>
      </c>
      <c r="P536" s="11">
        <v>1875402.2300000002</v>
      </c>
      <c r="Q536" s="14" t="s">
        <v>1043</v>
      </c>
      <c r="R536" s="15">
        <f>H536/1402.53</f>
        <v>1372.2855268693006</v>
      </c>
      <c r="S536" s="7" t="s">
        <v>41</v>
      </c>
      <c r="T536" s="12">
        <v>1265</v>
      </c>
      <c r="U536" s="13" t="s">
        <v>42</v>
      </c>
      <c r="V536" s="43" t="s">
        <v>43</v>
      </c>
      <c r="W536" s="10">
        <f>'[1]V, inciso p) (OP)'!AM281</f>
        <v>43059</v>
      </c>
      <c r="X536" s="10">
        <f>'[1]V, inciso p) (OP)'!AN281</f>
        <v>43148</v>
      </c>
      <c r="Y536" s="7" t="s">
        <v>484</v>
      </c>
      <c r="Z536" s="7" t="s">
        <v>93</v>
      </c>
      <c r="AA536" s="7" t="s">
        <v>945</v>
      </c>
      <c r="AB536" s="21" t="s">
        <v>2893</v>
      </c>
      <c r="AC536" s="6" t="s">
        <v>2438</v>
      </c>
      <c r="AD536" s="6"/>
    </row>
    <row r="537" spans="1:30" ht="69.95" customHeight="1">
      <c r="A537" s="34">
        <v>270</v>
      </c>
      <c r="B537" s="7">
        <v>2017</v>
      </c>
      <c r="C537" s="6" t="str">
        <f>'[1]V, inciso p) (OP)'!B282</f>
        <v>Licitación por Invitación Restringida</v>
      </c>
      <c r="D537" s="6" t="str">
        <f>'[1]V, inciso p) (OP)'!D282</f>
        <v>DOPI-MUN-PP-IU-CI-270-2017</v>
      </c>
      <c r="E537" s="10">
        <f>'[1]V, inciso p) (OP)'!AD282</f>
        <v>43056</v>
      </c>
      <c r="F537" s="6" t="str">
        <f>'[1]V, inciso p) (OP)'!AL282</f>
        <v>Rehabilitación del área infantil del Parque Villa Fantasía, municipio de Zapopan, Jalisco. Primera Etapa.</v>
      </c>
      <c r="G537" s="6" t="s">
        <v>63</v>
      </c>
      <c r="H537" s="25">
        <v>2996415.13</v>
      </c>
      <c r="I537" s="6" t="str">
        <f>'[1]V, inciso p) (OP)'!AS282</f>
        <v>Colonia Tepeyac</v>
      </c>
      <c r="J537" s="6" t="str">
        <f>'[1]V, inciso p) (OP)'!T282</f>
        <v>JORGE ALFREDO</v>
      </c>
      <c r="K537" s="6" t="str">
        <f>'[1]V, inciso p) (OP)'!U282</f>
        <v>OCHOA</v>
      </c>
      <c r="L537" s="6" t="str">
        <f>'[1]V, inciso p) (OP)'!V282</f>
        <v>GONZÁLEZ</v>
      </c>
      <c r="M537" s="6" t="s">
        <v>3209</v>
      </c>
      <c r="N537" s="6" t="str">
        <f>'[1]V, inciso p) (OP)'!X282</f>
        <v>AED890925181</v>
      </c>
      <c r="O537" s="11">
        <f t="shared" si="11"/>
        <v>2996415.13</v>
      </c>
      <c r="P537" s="11">
        <v>2441779.9299999997</v>
      </c>
      <c r="Q537" s="14" t="s">
        <v>1044</v>
      </c>
      <c r="R537" s="15">
        <f>H537/1896.15</f>
        <v>1580.2627060095456</v>
      </c>
      <c r="S537" s="7" t="s">
        <v>41</v>
      </c>
      <c r="T537" s="12">
        <v>1332272</v>
      </c>
      <c r="U537" s="13" t="s">
        <v>42</v>
      </c>
      <c r="V537" s="43" t="s">
        <v>43</v>
      </c>
      <c r="W537" s="10">
        <f>'[1]V, inciso p) (OP)'!AM282</f>
        <v>43059</v>
      </c>
      <c r="X537" s="10">
        <f>'[1]V, inciso p) (OP)'!AN282</f>
        <v>43148</v>
      </c>
      <c r="Y537" s="7" t="s">
        <v>838</v>
      </c>
      <c r="Z537" s="7" t="s">
        <v>447</v>
      </c>
      <c r="AA537" s="7" t="s">
        <v>448</v>
      </c>
      <c r="AB537" s="21" t="s">
        <v>1330</v>
      </c>
      <c r="AC537" s="6" t="s">
        <v>2438</v>
      </c>
      <c r="AD537" s="6"/>
    </row>
    <row r="538" spans="1:30" ht="69.95" customHeight="1">
      <c r="A538" s="34">
        <v>271</v>
      </c>
      <c r="B538" s="7">
        <v>2017</v>
      </c>
      <c r="C538" s="6" t="str">
        <f>'[1]V, inciso p) (OP)'!B283</f>
        <v>Licitación por Invitación Restringida</v>
      </c>
      <c r="D538" s="6" t="str">
        <f>'[1]V, inciso p) (OP)'!D283</f>
        <v>DOPI-MUN-CUSMAX-PAV-CI-271-2017</v>
      </c>
      <c r="E538" s="10">
        <f>'[1]V, inciso p) (OP)'!AD283</f>
        <v>43056</v>
      </c>
      <c r="F538" s="6" t="str">
        <f>'[1]V, inciso p) (OP)'!AL283</f>
        <v>Construcción de Puente Vehicular Colonia La Higuera, municipio de Zapopan, Jalisco.</v>
      </c>
      <c r="G538" s="6" t="s">
        <v>3332</v>
      </c>
      <c r="H538" s="25">
        <v>3720532.52</v>
      </c>
      <c r="I538" s="6" t="str">
        <f>'[1]V, inciso p) (OP)'!AS283</f>
        <v>Colonia La Higuera</v>
      </c>
      <c r="J538" s="6" t="str">
        <f>'[1]V, inciso p) (OP)'!T283</f>
        <v>VICTOR</v>
      </c>
      <c r="K538" s="6" t="str">
        <f>'[1]V, inciso p) (OP)'!U283</f>
        <v>ZAYAS</v>
      </c>
      <c r="L538" s="6" t="str">
        <f>'[1]V, inciso p) (OP)'!V283</f>
        <v>RIQUELME</v>
      </c>
      <c r="M538" s="6" t="s">
        <v>1892</v>
      </c>
      <c r="N538" s="6" t="str">
        <f>'[1]V, inciso p) (OP)'!X283</f>
        <v>GIC810323RA6</v>
      </c>
      <c r="O538" s="11">
        <f t="shared" si="11"/>
        <v>3720532.52</v>
      </c>
      <c r="P538" s="11">
        <v>3720532.51</v>
      </c>
      <c r="Q538" s="14" t="s">
        <v>1045</v>
      </c>
      <c r="R538" s="15">
        <f>H538/872.01</f>
        <v>4266.6168048531554</v>
      </c>
      <c r="S538" s="7" t="s">
        <v>41</v>
      </c>
      <c r="T538" s="12">
        <v>695</v>
      </c>
      <c r="U538" s="13" t="s">
        <v>42</v>
      </c>
      <c r="V538" s="43" t="s">
        <v>43</v>
      </c>
      <c r="W538" s="10">
        <f>'[1]V, inciso p) (OP)'!AM283</f>
        <v>43059</v>
      </c>
      <c r="X538" s="10">
        <f>'[1]V, inciso p) (OP)'!AN283</f>
        <v>43148</v>
      </c>
      <c r="Y538" s="7" t="s">
        <v>394</v>
      </c>
      <c r="Z538" s="7" t="s">
        <v>279</v>
      </c>
      <c r="AA538" s="7" t="s">
        <v>78</v>
      </c>
      <c r="AB538" s="21" t="s">
        <v>2892</v>
      </c>
      <c r="AC538" s="6" t="s">
        <v>2438</v>
      </c>
      <c r="AD538" s="6"/>
    </row>
    <row r="539" spans="1:30" ht="69.95" customHeight="1">
      <c r="A539" s="34">
        <v>272</v>
      </c>
      <c r="B539" s="7">
        <v>2017</v>
      </c>
      <c r="C539" s="6" t="str">
        <f>'[1]V, inciso p) (OP)'!B284</f>
        <v>Licitación por Invitación Restringida</v>
      </c>
      <c r="D539" s="6" t="str">
        <f>'[1]V, inciso p) (OP)'!D284</f>
        <v>DOPI-MUN-CUSMAX-PAV-CI-272-2017</v>
      </c>
      <c r="E539" s="10">
        <f>'[1]V, inciso p) (OP)'!AD284</f>
        <v>43056</v>
      </c>
      <c r="F539" s="6" t="str">
        <f>'[1]V, inciso p) (OP)'!AL284</f>
        <v>Construcción de crucero seguro en Av. Acueducto y Av. Real Acueducto, municipio de Zapopan, Jalisco.</v>
      </c>
      <c r="G539" s="6" t="s">
        <v>3332</v>
      </c>
      <c r="H539" s="25">
        <v>3805115.17</v>
      </c>
      <c r="I539" s="6" t="str">
        <f>'[1]V, inciso p) (OP)'!AS284</f>
        <v>Zona Andares</v>
      </c>
      <c r="J539" s="6" t="str">
        <f>'[1]V, inciso p) (OP)'!T284</f>
        <v>JOSÉ OMAR</v>
      </c>
      <c r="K539" s="6" t="str">
        <f>'[1]V, inciso p) (OP)'!U284</f>
        <v>FERNÁNDEZ</v>
      </c>
      <c r="L539" s="6" t="str">
        <f>'[1]V, inciso p) (OP)'!V284</f>
        <v>VÁZQUEZ</v>
      </c>
      <c r="M539" s="6" t="s">
        <v>3205</v>
      </c>
      <c r="N539" s="6" t="str">
        <f>'[1]V, inciso p) (OP)'!X284</f>
        <v>FEVO740619686</v>
      </c>
      <c r="O539" s="11">
        <f t="shared" si="11"/>
        <v>3805115.17</v>
      </c>
      <c r="P539" s="11">
        <v>3509815.71</v>
      </c>
      <c r="Q539" s="14" t="s">
        <v>1046</v>
      </c>
      <c r="R539" s="15">
        <f>H539/950.24</f>
        <v>4004.3727584610201</v>
      </c>
      <c r="S539" s="7" t="s">
        <v>41</v>
      </c>
      <c r="T539" s="12">
        <v>3598</v>
      </c>
      <c r="U539" s="13" t="s">
        <v>42</v>
      </c>
      <c r="V539" s="43" t="s">
        <v>43</v>
      </c>
      <c r="W539" s="10">
        <f>'[1]V, inciso p) (OP)'!AM284</f>
        <v>43059</v>
      </c>
      <c r="X539" s="10">
        <f>'[1]V, inciso p) (OP)'!AN284</f>
        <v>43178</v>
      </c>
      <c r="Y539" s="7" t="s">
        <v>958</v>
      </c>
      <c r="Z539" s="7" t="s">
        <v>959</v>
      </c>
      <c r="AA539" s="7" t="s">
        <v>861</v>
      </c>
      <c r="AB539" s="21" t="s">
        <v>2891</v>
      </c>
      <c r="AC539" s="6" t="s">
        <v>2438</v>
      </c>
      <c r="AD539" s="6"/>
    </row>
    <row r="540" spans="1:30" ht="69.95" customHeight="1">
      <c r="A540" s="34">
        <v>273</v>
      </c>
      <c r="B540" s="7">
        <v>2017</v>
      </c>
      <c r="C540" s="7" t="s">
        <v>62</v>
      </c>
      <c r="D540" s="6" t="str">
        <f>'[1]V, inciso o) (OP)'!C267</f>
        <v>DOPI-MUN-RM-PAV-AD-273-2017</v>
      </c>
      <c r="E540" s="10">
        <f>'[1]V, inciso o) (OP)'!V267</f>
        <v>42991</v>
      </c>
      <c r="F540" s="6" t="str">
        <f>'[1]V, inciso o) (OP)'!AA267</f>
        <v>Construcción de pavimento de concreto hidráulico, incluye: agua potable, alcantarillado, guarniciones, banquetas, accesibilidad, servicios complementarios y forestación, en la prolongación Naranjos, colonia Rancho El Centinela, municipio de Zapopan, Jalisco.</v>
      </c>
      <c r="G540" s="6" t="s">
        <v>63</v>
      </c>
      <c r="H540" s="25">
        <v>1558361.13</v>
      </c>
      <c r="I540" s="6" t="s">
        <v>1047</v>
      </c>
      <c r="J540" s="6" t="str">
        <f>'[1]V, inciso o) (OP)'!M267</f>
        <v>JUAN RAMÓN</v>
      </c>
      <c r="K540" s="6" t="str">
        <f>'[1]V, inciso o) (OP)'!N267</f>
        <v>RAMÍREZ</v>
      </c>
      <c r="L540" s="6" t="str">
        <f>'[1]V, inciso o) (OP)'!O267</f>
        <v>ALATORRE</v>
      </c>
      <c r="M540" s="6" t="s">
        <v>3073</v>
      </c>
      <c r="N540" s="6" t="str">
        <f>'[1]V, inciso o) (OP)'!Q267</f>
        <v>QGE080213988</v>
      </c>
      <c r="O540" s="11">
        <f t="shared" si="11"/>
        <v>1558361.13</v>
      </c>
      <c r="P540" s="11">
        <v>1303132.8500000001</v>
      </c>
      <c r="Q540" s="7" t="s">
        <v>1048</v>
      </c>
      <c r="R540" s="11">
        <f>H540/828</f>
        <v>1882.0786594202898</v>
      </c>
      <c r="S540" s="7" t="s">
        <v>41</v>
      </c>
      <c r="T540" s="12">
        <v>967</v>
      </c>
      <c r="U540" s="13" t="s">
        <v>42</v>
      </c>
      <c r="V540" s="43" t="s">
        <v>43</v>
      </c>
      <c r="W540" s="10">
        <f>'[1]V, inciso o) (OP)'!AD267</f>
        <v>42996</v>
      </c>
      <c r="X540" s="10">
        <f>'[1]V, inciso o) (OP)'!AE267</f>
        <v>43066</v>
      </c>
      <c r="Y540" s="7" t="s">
        <v>380</v>
      </c>
      <c r="Z540" s="7" t="s">
        <v>45</v>
      </c>
      <c r="AA540" s="7" t="s">
        <v>46</v>
      </c>
      <c r="AB540" s="21" t="s">
        <v>2848</v>
      </c>
      <c r="AC540" s="6" t="s">
        <v>2438</v>
      </c>
      <c r="AD540" s="6"/>
    </row>
    <row r="541" spans="1:30" ht="69.95" customHeight="1">
      <c r="A541" s="34">
        <v>274</v>
      </c>
      <c r="B541" s="7">
        <v>2017</v>
      </c>
      <c r="C541" s="7" t="s">
        <v>62</v>
      </c>
      <c r="D541" s="6" t="str">
        <f>'[1]V, inciso o) (OP)'!C268</f>
        <v>DOPI-MUN-CUSMAX-SERV-AD-274-2017</v>
      </c>
      <c r="E541" s="10">
        <f>'[1]V, inciso o) (OP)'!V268</f>
        <v>43012</v>
      </c>
      <c r="F541" s="6" t="str">
        <f>'[1]V, inciso o) (OP)'!AA268</f>
        <v>Informe preventivo de impacto ambiental para la integración peatonal y paisaje de espacio público en la zona de andares y estudio de la manifestación de impacto ambiental para la construcción del parque lineal en la Av. Patria, municipio de Zapopan, Jalisco.</v>
      </c>
      <c r="G541" s="6" t="s">
        <v>3332</v>
      </c>
      <c r="H541" s="25">
        <v>442448.03</v>
      </c>
      <c r="I541" s="6" t="s">
        <v>1049</v>
      </c>
      <c r="J541" s="6" t="str">
        <f>'[1]V, inciso o) (OP)'!M268</f>
        <v>JUAN RAMÓN</v>
      </c>
      <c r="K541" s="6" t="str">
        <f>'[1]V, inciso o) (OP)'!N268</f>
        <v>RAMÍREZ</v>
      </c>
      <c r="L541" s="6" t="str">
        <f>'[1]V, inciso o) (OP)'!O268</f>
        <v>ALATORRE</v>
      </c>
      <c r="M541" s="6" t="s">
        <v>3073</v>
      </c>
      <c r="N541" s="6" t="str">
        <f>'[1]V, inciso o) (OP)'!Q268</f>
        <v>QGE080213988</v>
      </c>
      <c r="O541" s="11">
        <f t="shared" si="11"/>
        <v>442448.03</v>
      </c>
      <c r="P541" s="11">
        <v>442448.02</v>
      </c>
      <c r="Q541" s="7" t="s">
        <v>611</v>
      </c>
      <c r="R541" s="11">
        <f>O541</f>
        <v>442448.03</v>
      </c>
      <c r="S541" s="7" t="s">
        <v>121</v>
      </c>
      <c r="T541" s="12" t="s">
        <v>121</v>
      </c>
      <c r="U541" s="13" t="s">
        <v>42</v>
      </c>
      <c r="V541" s="43" t="s">
        <v>43</v>
      </c>
      <c r="W541" s="10">
        <f>'[1]V, inciso o) (OP)'!AD268</f>
        <v>43012</v>
      </c>
      <c r="X541" s="10">
        <f>'[1]V, inciso o) (OP)'!AE268</f>
        <v>43100</v>
      </c>
      <c r="Y541" s="7" t="s">
        <v>680</v>
      </c>
      <c r="Z541" s="7" t="s">
        <v>681</v>
      </c>
      <c r="AA541" s="7" t="s">
        <v>132</v>
      </c>
      <c r="AB541" s="21" t="s">
        <v>2847</v>
      </c>
      <c r="AC541" s="6" t="s">
        <v>2438</v>
      </c>
      <c r="AD541" s="6"/>
    </row>
    <row r="542" spans="1:30" ht="69.95" customHeight="1">
      <c r="A542" s="34">
        <v>275</v>
      </c>
      <c r="B542" s="7">
        <v>2017</v>
      </c>
      <c r="C542" s="7" t="s">
        <v>62</v>
      </c>
      <c r="D542" s="6" t="str">
        <f>'[1]V, inciso o) (OP)'!C269</f>
        <v>DOPI-MUN-RM-SERV-AD-275-2017</v>
      </c>
      <c r="E542" s="10">
        <f>'[1]V, inciso o) (OP)'!V269</f>
        <v>43054</v>
      </c>
      <c r="F542" s="6" t="str">
        <f>'[1]V, inciso o) (OP)'!AA269</f>
        <v>Estudio de la manifestación de impacto ambiental del CDC de la colonia Miramar y de la rehabilitación del banco de material geológico en el relleno sanitario picachos, municipio de Zapopan, Jalisco.</v>
      </c>
      <c r="G542" s="6" t="s">
        <v>63</v>
      </c>
      <c r="H542" s="25">
        <v>247885.53</v>
      </c>
      <c r="I542" s="6" t="s">
        <v>1050</v>
      </c>
      <c r="J542" s="6" t="str">
        <f>'[1]V, inciso o) (OP)'!M269</f>
        <v>JUAN RAMÓN</v>
      </c>
      <c r="K542" s="6" t="str">
        <f>'[1]V, inciso o) (OP)'!N269</f>
        <v>RAMÍREZ</v>
      </c>
      <c r="L542" s="6" t="str">
        <f>'[1]V, inciso o) (OP)'!O269</f>
        <v>ALATORRE</v>
      </c>
      <c r="M542" s="6" t="s">
        <v>3073</v>
      </c>
      <c r="N542" s="6" t="str">
        <f>'[1]V, inciso o) (OP)'!Q269</f>
        <v>QGE080213988</v>
      </c>
      <c r="O542" s="11">
        <f t="shared" si="11"/>
        <v>247885.53</v>
      </c>
      <c r="P542" s="11">
        <v>247885.53</v>
      </c>
      <c r="Q542" s="7" t="s">
        <v>611</v>
      </c>
      <c r="R542" s="11">
        <f>O542</f>
        <v>247885.53</v>
      </c>
      <c r="S542" s="7" t="s">
        <v>121</v>
      </c>
      <c r="T542" s="12" t="s">
        <v>121</v>
      </c>
      <c r="U542" s="13" t="s">
        <v>42</v>
      </c>
      <c r="V542" s="43" t="s">
        <v>43</v>
      </c>
      <c r="W542" s="10">
        <f>'[1]V, inciso o) (OP)'!AD269</f>
        <v>43054</v>
      </c>
      <c r="X542" s="10">
        <f>'[1]V, inciso o) (OP)'!AE269</f>
        <v>43100</v>
      </c>
      <c r="Y542" s="7" t="s">
        <v>680</v>
      </c>
      <c r="Z542" s="7" t="s">
        <v>681</v>
      </c>
      <c r="AA542" s="7" t="s">
        <v>132</v>
      </c>
      <c r="AB542" s="21" t="s">
        <v>2846</v>
      </c>
      <c r="AC542" s="6" t="s">
        <v>2438</v>
      </c>
      <c r="AD542" s="6"/>
    </row>
    <row r="543" spans="1:30" ht="69.95" customHeight="1">
      <c r="A543" s="34">
        <v>276</v>
      </c>
      <c r="B543" s="7">
        <v>2017</v>
      </c>
      <c r="C543" s="7" t="s">
        <v>62</v>
      </c>
      <c r="D543" s="6" t="str">
        <f>'[1]V, inciso o) (OP)'!C270</f>
        <v>DOPI-MUN-RM-IH-AD-276-2017</v>
      </c>
      <c r="E543" s="10">
        <f>'[1]V, inciso o) (OP)'!V270</f>
        <v>43038</v>
      </c>
      <c r="F543" s="6" t="str">
        <f>'[1]V, inciso o) (OP)'!AA270</f>
        <v>Construcción de sistema pluvial a base de bocas de tormenta y pozo de infiltración, en diferentes zonas del municipio de Zapopan, Jalisco, primera etapa.</v>
      </c>
      <c r="G543" s="6" t="s">
        <v>63</v>
      </c>
      <c r="H543" s="25">
        <v>1715478.16</v>
      </c>
      <c r="I543" s="6" t="s">
        <v>1317</v>
      </c>
      <c r="J543" s="6" t="str">
        <f>'[1]V, inciso o) (OP)'!M270</f>
        <v>SERGIO</v>
      </c>
      <c r="K543" s="6" t="str">
        <f>'[1]V, inciso o) (OP)'!N270</f>
        <v>HERNÁNDEZ</v>
      </c>
      <c r="L543" s="6" t="str">
        <f>'[1]V, inciso o) (OP)'!O270</f>
        <v>RUÍZ</v>
      </c>
      <c r="M543" s="6" t="s">
        <v>3210</v>
      </c>
      <c r="N543" s="6" t="str">
        <f>'[1]V, inciso o) (OP)'!Q270</f>
        <v>RCO820921T66</v>
      </c>
      <c r="O543" s="11">
        <f t="shared" si="11"/>
        <v>1715478.16</v>
      </c>
      <c r="P543" s="11">
        <v>1683312.5799999998</v>
      </c>
      <c r="Q543" s="7" t="s">
        <v>1051</v>
      </c>
      <c r="R543" s="11">
        <f>H543/8</f>
        <v>214434.77</v>
      </c>
      <c r="S543" s="7" t="s">
        <v>41</v>
      </c>
      <c r="T543" s="12">
        <v>1332272</v>
      </c>
      <c r="U543" s="13" t="s">
        <v>42</v>
      </c>
      <c r="V543" s="43" t="s">
        <v>43</v>
      </c>
      <c r="W543" s="10">
        <f>'[1]V, inciso o) (OP)'!AD270</f>
        <v>43040</v>
      </c>
      <c r="X543" s="10">
        <f>'[1]V, inciso o) (OP)'!AE270</f>
        <v>43084</v>
      </c>
      <c r="Y543" s="7" t="s">
        <v>411</v>
      </c>
      <c r="Z543" s="7" t="s">
        <v>412</v>
      </c>
      <c r="AA543" s="7" t="s">
        <v>413</v>
      </c>
      <c r="AB543" s="21" t="s">
        <v>2305</v>
      </c>
      <c r="AC543" s="6" t="s">
        <v>2438</v>
      </c>
      <c r="AD543" s="6"/>
    </row>
    <row r="544" spans="1:30" ht="69.95" customHeight="1">
      <c r="A544" s="34">
        <v>277</v>
      </c>
      <c r="B544" s="7">
        <v>2017</v>
      </c>
      <c r="C544" s="7" t="s">
        <v>62</v>
      </c>
      <c r="D544" s="6" t="str">
        <f>'[1]V, inciso o) (OP)'!C271</f>
        <v>DOPI-MUN-RM-IM-AD-277-2017</v>
      </c>
      <c r="E544" s="10">
        <f>'[1]V, inciso o) (OP)'!V271</f>
        <v>43066</v>
      </c>
      <c r="F544" s="6" t="str">
        <f>'[1]V, inciso o) (OP)'!AA271</f>
        <v>Trabajos de albañilería, herrería, instalaciones eléctricas, hidrosanitarias y de gas, en el Centro de Desarrollo Infantil No. 8 María Jaime Franco, ubicado en la localidad de Santa Ana Tepetitlán, municipio de Zapopan, Jalisco.</v>
      </c>
      <c r="G544" s="6" t="s">
        <v>63</v>
      </c>
      <c r="H544" s="25">
        <v>1658873.5899999999</v>
      </c>
      <c r="I544" s="6" t="s">
        <v>1052</v>
      </c>
      <c r="J544" s="6" t="str">
        <f>'[1]V, inciso o) (OP)'!M271</f>
        <v xml:space="preserve">RAFAEL </v>
      </c>
      <c r="K544" s="6" t="str">
        <f>'[1]V, inciso o) (OP)'!N271</f>
        <v>ARREGUIN</v>
      </c>
      <c r="L544" s="6" t="str">
        <f>'[1]V, inciso o) (OP)'!O271</f>
        <v>RENTERIA</v>
      </c>
      <c r="M544" s="6" t="s">
        <v>3096</v>
      </c>
      <c r="N544" s="6" t="str">
        <f>'[1]V, inciso o) (OP)'!Q271</f>
        <v>ADI130522MB7</v>
      </c>
      <c r="O544" s="11">
        <f t="shared" si="11"/>
        <v>1658873.5899999999</v>
      </c>
      <c r="P544" s="11">
        <v>1658873.5899999999</v>
      </c>
      <c r="Q544" s="7" t="s">
        <v>1053</v>
      </c>
      <c r="R544" s="11">
        <f>H544/265</f>
        <v>6259.9003396226408</v>
      </c>
      <c r="S544" s="7" t="s">
        <v>41</v>
      </c>
      <c r="T544" s="12">
        <v>11056</v>
      </c>
      <c r="U544" s="13" t="s">
        <v>42</v>
      </c>
      <c r="V544" s="43" t="s">
        <v>43</v>
      </c>
      <c r="W544" s="10">
        <f>'[1]V, inciso o) (OP)'!AD271</f>
        <v>43066</v>
      </c>
      <c r="X544" s="10">
        <f>'[1]V, inciso o) (OP)'!AE271</f>
        <v>43110</v>
      </c>
      <c r="Y544" s="7" t="s">
        <v>1054</v>
      </c>
      <c r="Z544" s="7" t="s">
        <v>1055</v>
      </c>
      <c r="AA544" s="7" t="s">
        <v>61</v>
      </c>
      <c r="AB544" s="21" t="s">
        <v>1572</v>
      </c>
      <c r="AC544" s="6" t="s">
        <v>2438</v>
      </c>
      <c r="AD544" s="6"/>
    </row>
    <row r="545" spans="1:30" ht="69.95" customHeight="1">
      <c r="A545" s="34">
        <v>278</v>
      </c>
      <c r="B545" s="7">
        <v>2017</v>
      </c>
      <c r="C545" s="7" t="s">
        <v>62</v>
      </c>
      <c r="D545" s="6" t="str">
        <f>'[1]V, inciso o) (OP)'!C272</f>
        <v>DOPI-MUN-RM-SERV-AD-278-2017</v>
      </c>
      <c r="E545" s="10">
        <f>'[1]V, inciso o) (OP)'!V272</f>
        <v>43049</v>
      </c>
      <c r="F545" s="6" t="str">
        <f>'[1]V, inciso o) (OP)'!AA272</f>
        <v>Elaboración de dictámenes estructurales y levantamientos arquitectónicos de diferentes Centros de Desarrollo Infantil del DIF, municipio de Zapopan, Jalisco.</v>
      </c>
      <c r="G545" s="6" t="s">
        <v>63</v>
      </c>
      <c r="H545" s="25">
        <v>826853.74</v>
      </c>
      <c r="I545" s="6" t="s">
        <v>1317</v>
      </c>
      <c r="J545" s="6" t="str">
        <f>'[1]V, inciso o) (OP)'!M272</f>
        <v>ANDRÉS</v>
      </c>
      <c r="K545" s="6" t="str">
        <f>'[1]V, inciso o) (OP)'!N272</f>
        <v>ESCOBEDO</v>
      </c>
      <c r="L545" s="6" t="str">
        <f>'[1]V, inciso o) (OP)'!O272</f>
        <v>LÓPEZ</v>
      </c>
      <c r="M545" s="6" t="s">
        <v>3211</v>
      </c>
      <c r="N545" s="6" t="str">
        <f>'[1]V, inciso o) (OP)'!Q272</f>
        <v>EOLA770418BX6</v>
      </c>
      <c r="O545" s="11">
        <f t="shared" ref="O545:O608" si="12">H545</f>
        <v>826853.74</v>
      </c>
      <c r="P545" s="11">
        <v>826853.7300000001</v>
      </c>
      <c r="Q545" s="7" t="s">
        <v>618</v>
      </c>
      <c r="R545" s="11">
        <f>H545/1</f>
        <v>826853.74</v>
      </c>
      <c r="S545" s="7" t="s">
        <v>121</v>
      </c>
      <c r="T545" s="12" t="s">
        <v>121</v>
      </c>
      <c r="U545" s="13" t="s">
        <v>42</v>
      </c>
      <c r="V545" s="43" t="s">
        <v>43</v>
      </c>
      <c r="W545" s="10">
        <f>'[1]V, inciso o) (OP)'!AD272</f>
        <v>43052</v>
      </c>
      <c r="X545" s="10">
        <f>'[1]V, inciso o) (OP)'!AE272</f>
        <v>43100</v>
      </c>
      <c r="Y545" s="7" t="s">
        <v>402</v>
      </c>
      <c r="Z545" s="7" t="s">
        <v>403</v>
      </c>
      <c r="AA545" s="7" t="s">
        <v>104</v>
      </c>
      <c r="AB545" s="21" t="s">
        <v>2306</v>
      </c>
      <c r="AC545" s="6" t="s">
        <v>2438</v>
      </c>
      <c r="AD545" s="6"/>
    </row>
    <row r="546" spans="1:30" ht="69.95" customHeight="1">
      <c r="A546" s="34">
        <v>279</v>
      </c>
      <c r="B546" s="7">
        <v>2017</v>
      </c>
      <c r="C546" s="7" t="s">
        <v>62</v>
      </c>
      <c r="D546" s="6" t="str">
        <f>'[1]V, inciso o) (OP)'!C273</f>
        <v>DOPI-MUN-RM-SERV-AD-279-2017</v>
      </c>
      <c r="E546" s="10">
        <f>'[1]V, inciso o) (OP)'!V273</f>
        <v>43055</v>
      </c>
      <c r="F546" s="6" t="str">
        <f>'[1]V, inciso o) (OP)'!AA273</f>
        <v>Estudios básicos topográficos para diferentes proyectos 2017, frente 2, del municipio de Zapopan, Jalisco.</v>
      </c>
      <c r="G546" s="6" t="s">
        <v>63</v>
      </c>
      <c r="H546" s="25">
        <v>1320415.74</v>
      </c>
      <c r="I546" s="6" t="s">
        <v>1317</v>
      </c>
      <c r="J546" s="6" t="str">
        <f>'[1]V, inciso o) (OP)'!M273</f>
        <v>GABRIEL</v>
      </c>
      <c r="K546" s="6" t="str">
        <f>'[1]V, inciso o) (OP)'!N273</f>
        <v xml:space="preserve">FRANCO </v>
      </c>
      <c r="L546" s="6" t="str">
        <f>'[1]V, inciso o) (OP)'!O273</f>
        <v>ALATORRE</v>
      </c>
      <c r="M546" s="6" t="s">
        <v>2212</v>
      </c>
      <c r="N546" s="6" t="str">
        <f>'[1]V, inciso o) (OP)'!Q273</f>
        <v>COM141015F48</v>
      </c>
      <c r="O546" s="11">
        <f t="shared" si="12"/>
        <v>1320415.74</v>
      </c>
      <c r="P546" s="11">
        <v>1320415.6299999999</v>
      </c>
      <c r="Q546" s="7" t="s">
        <v>618</v>
      </c>
      <c r="R546" s="11">
        <f>H546/1</f>
        <v>1320415.74</v>
      </c>
      <c r="S546" s="7" t="s">
        <v>121</v>
      </c>
      <c r="T546" s="12" t="s">
        <v>121</v>
      </c>
      <c r="U546" s="13" t="s">
        <v>42</v>
      </c>
      <c r="V546" s="43" t="s">
        <v>43</v>
      </c>
      <c r="W546" s="10">
        <f>'[1]V, inciso o) (OP)'!AD273</f>
        <v>43056</v>
      </c>
      <c r="X546" s="10">
        <f>'[1]V, inciso o) (OP)'!AE273</f>
        <v>43208</v>
      </c>
      <c r="Y546" s="7" t="s">
        <v>680</v>
      </c>
      <c r="Z546" s="7" t="s">
        <v>681</v>
      </c>
      <c r="AA546" s="7" t="s">
        <v>132</v>
      </c>
      <c r="AB546" s="21" t="s">
        <v>2307</v>
      </c>
      <c r="AC546" s="6" t="s">
        <v>2438</v>
      </c>
      <c r="AD546" s="6"/>
    </row>
    <row r="547" spans="1:30" ht="69.95" customHeight="1">
      <c r="A547" s="34">
        <v>280</v>
      </c>
      <c r="B547" s="7">
        <v>2017</v>
      </c>
      <c r="C547" s="7" t="s">
        <v>62</v>
      </c>
      <c r="D547" s="6" t="str">
        <f>'[1]V, inciso o) (OP)'!C274</f>
        <v>DOPI-MUN-CUSMAX-PROY-AD-280-2017</v>
      </c>
      <c r="E547" s="10">
        <f>'[1]V, inciso o) (OP)'!V274</f>
        <v>43010</v>
      </c>
      <c r="F547" s="6" t="str">
        <f>'[1]V, inciso o) (OP)'!AA274</f>
        <v>Elaboración de proyectos arquitectónicos para diferentes obras del programa Cusmax 2017, frente 2, municipio de Zapopan, Jalisco.</v>
      </c>
      <c r="G547" s="6" t="s">
        <v>3332</v>
      </c>
      <c r="H547" s="25">
        <v>1285965.22</v>
      </c>
      <c r="I547" s="6" t="s">
        <v>1317</v>
      </c>
      <c r="J547" s="6" t="str">
        <f>'[1]V, inciso o) (OP)'!M274</f>
        <v>JOSÉ ANTONIO</v>
      </c>
      <c r="K547" s="6" t="str">
        <f>'[1]V, inciso o) (OP)'!N274</f>
        <v>CISNEROS</v>
      </c>
      <c r="L547" s="6" t="str">
        <f>'[1]V, inciso o) (OP)'!O274</f>
        <v>CASTILLO</v>
      </c>
      <c r="M547" s="6" t="s">
        <v>3160</v>
      </c>
      <c r="N547" s="6" t="str">
        <f>'[1]V, inciso o) (OP)'!Q274</f>
        <v>APE111122MI0</v>
      </c>
      <c r="O547" s="11">
        <f t="shared" si="12"/>
        <v>1285965.22</v>
      </c>
      <c r="P547" s="11">
        <v>1285965.21</v>
      </c>
      <c r="Q547" s="7" t="s">
        <v>618</v>
      </c>
      <c r="R547" s="11">
        <f>H547/1</f>
        <v>1285965.22</v>
      </c>
      <c r="S547" s="7" t="s">
        <v>121</v>
      </c>
      <c r="T547" s="12" t="s">
        <v>121</v>
      </c>
      <c r="U547" s="13" t="s">
        <v>42</v>
      </c>
      <c r="V547" s="43" t="s">
        <v>43</v>
      </c>
      <c r="W547" s="10">
        <f>'[1]V, inciso o) (OP)'!AD274</f>
        <v>43010</v>
      </c>
      <c r="X547" s="10">
        <f>'[1]V, inciso o) (OP)'!AE274</f>
        <v>43092</v>
      </c>
      <c r="Y547" s="7" t="s">
        <v>680</v>
      </c>
      <c r="Z547" s="7" t="s">
        <v>681</v>
      </c>
      <c r="AA547" s="7" t="s">
        <v>132</v>
      </c>
      <c r="AB547" s="21" t="s">
        <v>1573</v>
      </c>
      <c r="AC547" s="6" t="s">
        <v>2438</v>
      </c>
      <c r="AD547" s="6"/>
    </row>
    <row r="548" spans="1:30" ht="69.95" customHeight="1">
      <c r="A548" s="34">
        <v>281</v>
      </c>
      <c r="B548" s="7">
        <v>2017</v>
      </c>
      <c r="C548" s="7" t="s">
        <v>62</v>
      </c>
      <c r="D548" s="6" t="str">
        <f>'[1]V, inciso o) (OP)'!C275</f>
        <v>DOPI-MUN-CUSMAX-BAN-AD-281-2017</v>
      </c>
      <c r="E548" s="10">
        <f>'[1]V, inciso o) (OP)'!V275</f>
        <v>43054</v>
      </c>
      <c r="F548" s="6" t="str">
        <f>'[1]V, inciso o) (OP)'!AA275</f>
        <v>Primera etapa de la peatonalización en la colonia Hacienda de las Lomas (incluye: machuelos, banquetas, accesibilidad universal, bolardos y nomenclatura), municipio de Zapopan, Jalisco.</v>
      </c>
      <c r="G548" s="6" t="s">
        <v>3332</v>
      </c>
      <c r="H548" s="25">
        <v>1009336.83</v>
      </c>
      <c r="I548" s="6" t="s">
        <v>1056</v>
      </c>
      <c r="J548" s="6" t="str">
        <f>'[1]V, inciso o) (OP)'!M275</f>
        <v>ROBERTO</v>
      </c>
      <c r="K548" s="6" t="str">
        <f>'[1]V, inciso o) (OP)'!N275</f>
        <v>FLORES</v>
      </c>
      <c r="L548" s="6" t="str">
        <f>'[1]V, inciso o) (OP)'!O275</f>
        <v>ARREOLA</v>
      </c>
      <c r="M548" s="6" t="s">
        <v>3192</v>
      </c>
      <c r="N548" s="6" t="str">
        <f>'[1]V, inciso o) (OP)'!Q275</f>
        <v>ESC930617KW9</v>
      </c>
      <c r="O548" s="11">
        <f t="shared" si="12"/>
        <v>1009336.83</v>
      </c>
      <c r="P548" s="11">
        <f t="shared" ref="P548:P550" si="13">O548</f>
        <v>1009336.83</v>
      </c>
      <c r="Q548" s="7" t="s">
        <v>1057</v>
      </c>
      <c r="R548" s="11">
        <f>H548/1264</f>
        <v>798.52597310126578</v>
      </c>
      <c r="S548" s="7" t="s">
        <v>41</v>
      </c>
      <c r="T548" s="12">
        <v>625</v>
      </c>
      <c r="U548" s="13" t="s">
        <v>42</v>
      </c>
      <c r="V548" s="7" t="s">
        <v>373</v>
      </c>
      <c r="W548" s="10">
        <f>'[1]V, inciso o) (OP)'!AD275</f>
        <v>43054</v>
      </c>
      <c r="X548" s="10">
        <f>'[1]V, inciso o) (OP)'!AE275</f>
        <v>43131</v>
      </c>
      <c r="Y548" s="7" t="s">
        <v>375</v>
      </c>
      <c r="Z548" s="7" t="s">
        <v>252</v>
      </c>
      <c r="AA548" s="7" t="s">
        <v>253</v>
      </c>
      <c r="AB548" s="21" t="s">
        <v>1574</v>
      </c>
      <c r="AC548" s="6" t="s">
        <v>2438</v>
      </c>
      <c r="AD548" s="6"/>
    </row>
    <row r="549" spans="1:30" ht="69.95" customHeight="1">
      <c r="A549" s="34">
        <v>284</v>
      </c>
      <c r="B549" s="7">
        <v>2017</v>
      </c>
      <c r="C549" s="6" t="str">
        <f>'[1]V, inciso p) (OP)'!B285</f>
        <v>Licitación por Invitación Restringida</v>
      </c>
      <c r="D549" s="6" t="str">
        <f>'[1]V, inciso p) (OP)'!D285</f>
        <v>DOPI-MUN-PP-ID-CI-284-2017</v>
      </c>
      <c r="E549" s="10">
        <f>'[1]V, inciso p) (OP)'!AD285</f>
        <v>43082</v>
      </c>
      <c r="F549" s="6" t="str">
        <f>'[1]V, inciso p) (OP)'!AL285</f>
        <v>Rehabilitación de las instalaciones y equipamiento deportivo de la Unidad Deportiva Santa Margarita (La Tuzania), ubicada en Av. Periférico Norponiente, municipio de Zapopan, Jalisco.</v>
      </c>
      <c r="G549" s="6" t="s">
        <v>63</v>
      </c>
      <c r="H549" s="25">
        <v>2961863.09</v>
      </c>
      <c r="I549" s="6" t="str">
        <f>'[1]V, inciso p) (OP)'!AS285</f>
        <v>Colonia Santa Margarita</v>
      </c>
      <c r="J549" s="6" t="str">
        <f>'[1]V, inciso p) (OP)'!T285</f>
        <v>MARÍA ARCELIA</v>
      </c>
      <c r="K549" s="6" t="str">
        <f>'[1]V, inciso p) (OP)'!U285</f>
        <v>IÑIGUEZ</v>
      </c>
      <c r="L549" s="6" t="str">
        <f>'[1]V, inciso p) (OP)'!V285</f>
        <v>HERNÁNDEZ</v>
      </c>
      <c r="M549" s="6" t="s">
        <v>1978</v>
      </c>
      <c r="N549" s="6" t="str">
        <f>'[1]V, inciso p) (OP)'!X285</f>
        <v>IRH140924LX3</v>
      </c>
      <c r="O549" s="11">
        <f t="shared" si="12"/>
        <v>2961863.09</v>
      </c>
      <c r="P549" s="11">
        <v>2720001.16</v>
      </c>
      <c r="Q549" s="14" t="s">
        <v>1058</v>
      </c>
      <c r="R549" s="15">
        <f>H549/464</f>
        <v>6383.3256249999995</v>
      </c>
      <c r="S549" s="7" t="s">
        <v>41</v>
      </c>
      <c r="T549" s="12">
        <v>3689</v>
      </c>
      <c r="U549" s="13" t="s">
        <v>42</v>
      </c>
      <c r="V549" s="43" t="s">
        <v>43</v>
      </c>
      <c r="W549" s="10">
        <f>'[1]V, inciso p) (OP)'!AM285</f>
        <v>43082</v>
      </c>
      <c r="X549" s="10">
        <f>'[1]V, inciso p) (OP)'!AN285</f>
        <v>43171</v>
      </c>
      <c r="Y549" s="7" t="s">
        <v>411</v>
      </c>
      <c r="Z549" s="7" t="s">
        <v>412</v>
      </c>
      <c r="AA549" s="7" t="s">
        <v>413</v>
      </c>
      <c r="AB549" s="21" t="s">
        <v>2890</v>
      </c>
      <c r="AC549" s="6" t="s">
        <v>2438</v>
      </c>
      <c r="AD549" s="6"/>
    </row>
    <row r="550" spans="1:30" ht="69.95" customHeight="1">
      <c r="A550" s="34">
        <v>285</v>
      </c>
      <c r="B550" s="7">
        <v>2017</v>
      </c>
      <c r="C550" s="6" t="str">
        <f>'[1]V, inciso p) (OP)'!B286</f>
        <v>Licitación por Invitación Restringida</v>
      </c>
      <c r="D550" s="6" t="str">
        <f>'[1]V, inciso p) (OP)'!D286</f>
        <v>DOPI-MUN-RM-RS-CI-285-2017</v>
      </c>
      <c r="E550" s="10">
        <f>'[1]V, inciso p) (OP)'!AD286</f>
        <v>43082</v>
      </c>
      <c r="F550" s="32" t="str">
        <f>'[1]V, inciso p) (OP)'!AL286</f>
        <v xml:space="preserve">Construcción de obras de protección pluvial, muros de mampostería, colector pluvial, caseta de control de acceso, oficinas, sanitarios, comedor, área de estacionamiento, segunda fase de equipamiento y obras complementarias en el relleno sanitario Picachos, municipio de Zapopan, Jalisco. </v>
      </c>
      <c r="G550" s="6" t="s">
        <v>63</v>
      </c>
      <c r="H550" s="25">
        <v>7954253.4100000001</v>
      </c>
      <c r="I550" s="6" t="str">
        <f>'[1]V, inciso p) (OP)'!AS286</f>
        <v>Relleno Sanitario de Picachos</v>
      </c>
      <c r="J550" s="6" t="str">
        <f>'[1]V, inciso p) (OP)'!T286</f>
        <v>HÉCTOR</v>
      </c>
      <c r="K550" s="6" t="str">
        <f>'[1]V, inciso p) (OP)'!U286</f>
        <v>GAYTAN</v>
      </c>
      <c r="L550" s="6" t="str">
        <f>'[1]V, inciso p) (OP)'!V286</f>
        <v>GALICIA</v>
      </c>
      <c r="M550" s="6" t="s">
        <v>3212</v>
      </c>
      <c r="N550" s="6" t="str">
        <f>'[1]V, inciso p) (OP)'!X286</f>
        <v>SCS1301173MA</v>
      </c>
      <c r="O550" s="11">
        <f t="shared" si="12"/>
        <v>7954253.4100000001</v>
      </c>
      <c r="P550" s="11">
        <f t="shared" si="13"/>
        <v>7954253.4100000001</v>
      </c>
      <c r="Q550" s="14" t="s">
        <v>1004</v>
      </c>
      <c r="R550" s="15">
        <f>H550/1298</f>
        <v>6128.0842912172575</v>
      </c>
      <c r="S550" s="7" t="s">
        <v>41</v>
      </c>
      <c r="T550" s="12">
        <v>1332272</v>
      </c>
      <c r="U550" s="13" t="s">
        <v>42</v>
      </c>
      <c r="V550" s="7" t="s">
        <v>373</v>
      </c>
      <c r="W550" s="10">
        <f>'[1]V, inciso p) (OP)'!AM286</f>
        <v>43082</v>
      </c>
      <c r="X550" s="10">
        <f>'[1]V, inciso p) (OP)'!AN286</f>
        <v>43201</v>
      </c>
      <c r="Y550" s="7" t="s">
        <v>460</v>
      </c>
      <c r="Z550" s="7" t="s">
        <v>302</v>
      </c>
      <c r="AA550" s="7" t="s">
        <v>303</v>
      </c>
      <c r="AB550" s="21" t="s">
        <v>1331</v>
      </c>
      <c r="AC550" s="6" t="s">
        <v>2438</v>
      </c>
      <c r="AD550" s="6"/>
    </row>
    <row r="551" spans="1:30" ht="69.95" customHeight="1">
      <c r="A551" s="34">
        <v>286</v>
      </c>
      <c r="B551" s="7">
        <v>2017</v>
      </c>
      <c r="C551" s="6" t="str">
        <f>'[1]V, inciso p) (OP)'!B287</f>
        <v>Licitación por Invitación Restringida</v>
      </c>
      <c r="D551" s="6" t="str">
        <f>'[1]V, inciso p) (OP)'!D287</f>
        <v>DOPI-MUN-RM-PAV-CI-286-2017</v>
      </c>
      <c r="E551" s="10">
        <f>'[1]V, inciso p) (OP)'!AD287</f>
        <v>43082</v>
      </c>
      <c r="F551" s="32" t="str">
        <f>'[1]V, inciso p) (OP)'!AL287</f>
        <v>Obra complementaria para la pavimentación con concreto hidráulico, incluye: agua potable, alcantarillado, guarniciones, banquetas, accesibilidad y servicios complementarios de la calle Laureles en la colonia Lomas de Tabachines, municipio de Zapopan, Jalisco, segunda etapa.</v>
      </c>
      <c r="G551" s="6" t="s">
        <v>63</v>
      </c>
      <c r="H551" s="25">
        <v>3956619.32</v>
      </c>
      <c r="I551" s="6" t="str">
        <f>'[1]V, inciso p) (OP)'!AS287</f>
        <v>Colonia Lomas de Tabachines</v>
      </c>
      <c r="J551" s="6" t="str">
        <f>'[1]V, inciso p) (OP)'!T287</f>
        <v xml:space="preserve">GUILLERMO </v>
      </c>
      <c r="K551" s="6" t="str">
        <f>'[1]V, inciso p) (OP)'!U287</f>
        <v>SANDOVAL</v>
      </c>
      <c r="L551" s="6" t="str">
        <f>'[1]V, inciso p) (OP)'!V287</f>
        <v>ALONSO</v>
      </c>
      <c r="M551" s="6" t="s">
        <v>3213</v>
      </c>
      <c r="N551" s="6" t="str">
        <f>'[1]V, inciso p) (OP)'!X287</f>
        <v>CRC091106EUA</v>
      </c>
      <c r="O551" s="11">
        <f t="shared" si="12"/>
        <v>3956619.32</v>
      </c>
      <c r="P551" s="11">
        <v>3956619.32</v>
      </c>
      <c r="Q551" s="14" t="s">
        <v>1059</v>
      </c>
      <c r="R551" s="15">
        <f>H551/1365</f>
        <v>2898.6222124542123</v>
      </c>
      <c r="S551" s="7" t="s">
        <v>41</v>
      </c>
      <c r="T551" s="12">
        <v>845</v>
      </c>
      <c r="U551" s="13" t="s">
        <v>42</v>
      </c>
      <c r="V551" s="7" t="s">
        <v>373</v>
      </c>
      <c r="W551" s="10">
        <f>'[1]V, inciso p) (OP)'!AM287</f>
        <v>43082</v>
      </c>
      <c r="X551" s="10">
        <f>'[1]V, inciso p) (OP)'!AN287</f>
        <v>43141</v>
      </c>
      <c r="Y551" s="7" t="s">
        <v>753</v>
      </c>
      <c r="Z551" s="7" t="s">
        <v>827</v>
      </c>
      <c r="AA551" s="7" t="s">
        <v>755</v>
      </c>
      <c r="AB551" s="21" t="s">
        <v>2889</v>
      </c>
      <c r="AC551" s="6" t="s">
        <v>2438</v>
      </c>
      <c r="AD551" s="6"/>
    </row>
    <row r="552" spans="1:30" ht="69.95" customHeight="1">
      <c r="A552" s="34">
        <v>287</v>
      </c>
      <c r="B552" s="7">
        <v>2017</v>
      </c>
      <c r="C552" s="6" t="str">
        <f>'[1]V, inciso p) (OP)'!B288</f>
        <v>Licitación por Invitación Restringida</v>
      </c>
      <c r="D552" s="6" t="str">
        <f>'[1]V, inciso p) (OP)'!D288</f>
        <v>DOPI-MUN-RM-PAV-CI-287-2017</v>
      </c>
      <c r="E552" s="10">
        <f>'[1]V, inciso p) (OP)'!AD288</f>
        <v>43082</v>
      </c>
      <c r="F552" s="32" t="str">
        <f>'[1]V, inciso p) (OP)'!AL288</f>
        <v>Pavimentación con concreto hidráulico de privada Atotonilco, de Av. Aviación al ingreso al fraccionamiento Misión del Valle, incluye: Agua potable, drenaje sanitario, guarniciones, banquetas y alumbrado público, colonia Nuevo México, municipio de Zapopan, Jalisco.</v>
      </c>
      <c r="G552" s="6" t="s">
        <v>63</v>
      </c>
      <c r="H552" s="25">
        <v>5195974.71</v>
      </c>
      <c r="I552" s="6" t="str">
        <f>'[1]V, inciso p) (OP)'!AS288</f>
        <v>Colonia Nuevo México</v>
      </c>
      <c r="J552" s="6" t="str">
        <f>'[1]V, inciso p) (OP)'!T288</f>
        <v>MARTÍN ALEJANDRO</v>
      </c>
      <c r="K552" s="6" t="str">
        <f>'[1]V, inciso p) (OP)'!U288</f>
        <v>DIEZ MARINA</v>
      </c>
      <c r="L552" s="6" t="str">
        <f>'[1]V, inciso p) (OP)'!V288</f>
        <v>INZUNZA</v>
      </c>
      <c r="M552" s="6" t="s">
        <v>3214</v>
      </c>
      <c r="N552" s="6" t="str">
        <f>'[1]V, inciso p) (OP)'!X288</f>
        <v>UNI1201115M6</v>
      </c>
      <c r="O552" s="11">
        <f t="shared" si="12"/>
        <v>5195974.71</v>
      </c>
      <c r="P552" s="11">
        <v>5195954.8699999992</v>
      </c>
      <c r="Q552" s="14" t="s">
        <v>1060</v>
      </c>
      <c r="R552" s="15">
        <f>H552/4098</f>
        <v>1267.9294070278183</v>
      </c>
      <c r="S552" s="7" t="s">
        <v>41</v>
      </c>
      <c r="T552" s="12">
        <v>1299</v>
      </c>
      <c r="U552" s="13" t="s">
        <v>42</v>
      </c>
      <c r="V552" s="43" t="s">
        <v>43</v>
      </c>
      <c r="W552" s="10">
        <f>'[1]V, inciso p) (OP)'!AM288</f>
        <v>43082</v>
      </c>
      <c r="X552" s="10">
        <f>'[1]V, inciso p) (OP)'!AN288</f>
        <v>43201</v>
      </c>
      <c r="Y552" s="7" t="s">
        <v>394</v>
      </c>
      <c r="Z552" s="7" t="s">
        <v>279</v>
      </c>
      <c r="AA552" s="7" t="s">
        <v>78</v>
      </c>
      <c r="AB552" s="21" t="s">
        <v>2724</v>
      </c>
      <c r="AC552" s="6" t="s">
        <v>2438</v>
      </c>
      <c r="AD552" s="6"/>
    </row>
    <row r="553" spans="1:30" ht="69.95" customHeight="1">
      <c r="A553" s="34">
        <v>288</v>
      </c>
      <c r="B553" s="7">
        <v>2017</v>
      </c>
      <c r="C553" s="6" t="str">
        <f>'[1]V, inciso p) (OP)'!B289</f>
        <v>Licitación por Invitación Restringida</v>
      </c>
      <c r="D553" s="6" t="str">
        <f>'[1]V, inciso p) (OP)'!D289</f>
        <v>DOPI-MUN-RM-PAV-CI-288-2017</v>
      </c>
      <c r="E553" s="10">
        <f>'[1]V, inciso p) (OP)'!AD289</f>
        <v>43082</v>
      </c>
      <c r="F553" s="6" t="str">
        <f>'[1]V, inciso p) (OP)'!AL289</f>
        <v>Pavimentación con concreto hidráulico de la calle Morelos, de calle Leona Vicario a calle Zaragoza, incluye: Agua potable, drenaje sanitario, guarniciones, banquetas y alumbrado público, en la localidad de Nextipac, municipio de Zapopan, Jalisco.</v>
      </c>
      <c r="G553" s="6" t="s">
        <v>63</v>
      </c>
      <c r="H553" s="25">
        <v>5748894.1600000001</v>
      </c>
      <c r="I553" s="6" t="str">
        <f>'[1]V, inciso p) (OP)'!AS289</f>
        <v>Localidad de Nextipac</v>
      </c>
      <c r="J553" s="6" t="str">
        <f>'[1]V, inciso p) (OP)'!T289</f>
        <v>AMALIA</v>
      </c>
      <c r="K553" s="6" t="str">
        <f>'[1]V, inciso p) (OP)'!U289</f>
        <v>MORENO</v>
      </c>
      <c r="L553" s="6" t="str">
        <f>'[1]V, inciso p) (OP)'!V289</f>
        <v>MALDONADO</v>
      </c>
      <c r="M553" s="6" t="s">
        <v>1970</v>
      </c>
      <c r="N553" s="6" t="str">
        <f>'[1]V, inciso p) (OP)'!X289</f>
        <v>GCM020226F28</v>
      </c>
      <c r="O553" s="11">
        <f t="shared" si="12"/>
        <v>5748894.1600000001</v>
      </c>
      <c r="P553" s="11">
        <v>5590337.0600000005</v>
      </c>
      <c r="Q553" s="14" t="s">
        <v>1061</v>
      </c>
      <c r="R553" s="15">
        <f>H553/3892</f>
        <v>1477.105385405961</v>
      </c>
      <c r="S553" s="7" t="s">
        <v>41</v>
      </c>
      <c r="T553" s="12">
        <v>1025</v>
      </c>
      <c r="U553" s="13" t="s">
        <v>42</v>
      </c>
      <c r="V553" s="43" t="s">
        <v>43</v>
      </c>
      <c r="W553" s="10">
        <f>'[1]V, inciso p) (OP)'!AM289</f>
        <v>43082</v>
      </c>
      <c r="X553" s="10">
        <f>'[1]V, inciso p) (OP)'!AN289</f>
        <v>43201</v>
      </c>
      <c r="Y553" s="7" t="s">
        <v>815</v>
      </c>
      <c r="Z553" s="7" t="s">
        <v>816</v>
      </c>
      <c r="AA553" s="7" t="s">
        <v>130</v>
      </c>
      <c r="AB553" s="21" t="s">
        <v>2725</v>
      </c>
      <c r="AC553" s="6" t="s">
        <v>2438</v>
      </c>
      <c r="AD553" s="6"/>
    </row>
    <row r="554" spans="1:30" ht="69.95" customHeight="1">
      <c r="A554" s="34">
        <v>290</v>
      </c>
      <c r="B554" s="7">
        <v>2017</v>
      </c>
      <c r="C554" s="6" t="str">
        <f>'[1]V, inciso p) (OP)'!B290</f>
        <v>Licitación por Invitación Restringida</v>
      </c>
      <c r="D554" s="6" t="str">
        <f>'[1]V, inciso p) (OP)'!D290</f>
        <v>DOPI-MUN-RM-PAV-CI-290-2017</v>
      </c>
      <c r="E554" s="10">
        <f>'[1]V, inciso p) (OP)'!AD290</f>
        <v>43082</v>
      </c>
      <c r="F554" s="6" t="str">
        <f>'[1]V, inciso p) (OP)'!AL290</f>
        <v>Pavimentación con concreto hidráulico de calle Venustiano Carranza, de calle 2 a Av. Copalita, incluye: Agua potable, drenaje sanitario, guarniciones, banquetas  y alumbrado público, en la colonia Vicente Guerrero, municipio de Zapopan, Jalisco.</v>
      </c>
      <c r="G554" s="6" t="s">
        <v>63</v>
      </c>
      <c r="H554" s="25">
        <v>2596210.91</v>
      </c>
      <c r="I554" s="6" t="str">
        <f>'[1]V, inciso p) (OP)'!AS290</f>
        <v>Colonia Vicente Guerrero</v>
      </c>
      <c r="J554" s="6" t="str">
        <f>'[1]V, inciso p) (OP)'!T290</f>
        <v>JESÚS DAVID</v>
      </c>
      <c r="K554" s="6" t="str">
        <f>'[1]V, inciso p) (OP)'!U290</f>
        <v xml:space="preserve">GARZA </v>
      </c>
      <c r="L554" s="6" t="str">
        <f>'[1]V, inciso p) (OP)'!V290</f>
        <v>GARCÍA</v>
      </c>
      <c r="M554" s="6" t="s">
        <v>3188</v>
      </c>
      <c r="N554" s="6" t="str">
        <f>'[1]V, inciso p) (OP)'!X290</f>
        <v>CEA010615GT0</v>
      </c>
      <c r="O554" s="11">
        <f t="shared" si="12"/>
        <v>2596210.91</v>
      </c>
      <c r="P554" s="11">
        <v>1580043.18</v>
      </c>
      <c r="Q554" s="14" t="s">
        <v>1062</v>
      </c>
      <c r="R554" s="15">
        <f>H554/1560</f>
        <v>1664.2377628205129</v>
      </c>
      <c r="S554" s="7" t="s">
        <v>41</v>
      </c>
      <c r="T554" s="12">
        <v>892</v>
      </c>
      <c r="U554" s="13" t="s">
        <v>42</v>
      </c>
      <c r="V554" s="43" t="s">
        <v>43</v>
      </c>
      <c r="W554" s="10">
        <f>'[1]V, inciso p) (OP)'!AM290</f>
        <v>43082</v>
      </c>
      <c r="X554" s="10">
        <f>'[1]V, inciso p) (OP)'!AN290</f>
        <v>43186</v>
      </c>
      <c r="Y554" s="7" t="s">
        <v>331</v>
      </c>
      <c r="Z554" s="7" t="s">
        <v>332</v>
      </c>
      <c r="AA554" s="7" t="s">
        <v>116</v>
      </c>
      <c r="AB554" s="21" t="s">
        <v>2726</v>
      </c>
      <c r="AC554" s="6" t="s">
        <v>2438</v>
      </c>
      <c r="AD554" s="6"/>
    </row>
    <row r="555" spans="1:30" ht="69.95" customHeight="1">
      <c r="A555" s="34">
        <v>291</v>
      </c>
      <c r="B555" s="7">
        <v>2017</v>
      </c>
      <c r="C555" s="6" t="str">
        <f>'[1]V, inciso p) (OP)'!B291</f>
        <v>Licitación por Invitación Restringida</v>
      </c>
      <c r="D555" s="6" t="str">
        <f>'[1]V, inciso p) (OP)'!D291</f>
        <v>DOPI-MUN-RM-PAV-CI-291-2017</v>
      </c>
      <c r="E555" s="10">
        <f>'[1]V, inciso p) (OP)'!AD291</f>
        <v>43082</v>
      </c>
      <c r="F555" s="32" t="str">
        <f>'[1]V, inciso p) (OP)'!AL291</f>
        <v>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1, municipio de Zapopan, Jalisco.</v>
      </c>
      <c r="G555" s="6" t="s">
        <v>63</v>
      </c>
      <c r="H555" s="25">
        <v>7995377.7399999993</v>
      </c>
      <c r="I555" s="6" t="str">
        <f>'[1]V, inciso p) (OP)'!AS291</f>
        <v>Colonias La Tuzania Ejidal,  Tuzania, La Casita, Las Bóvedas y Santa Margarita Residencial</v>
      </c>
      <c r="J555" s="6" t="str">
        <f>'[1]V, inciso p) (OP)'!T291</f>
        <v>JOSÉ</v>
      </c>
      <c r="K555" s="6" t="str">
        <f>'[1]V, inciso p) (OP)'!U291</f>
        <v xml:space="preserve">GUILLEN </v>
      </c>
      <c r="L555" s="6" t="str">
        <f>'[1]V, inciso p) (OP)'!V291</f>
        <v xml:space="preserve">DÍAZ  </v>
      </c>
      <c r="M555" s="6" t="s">
        <v>3142</v>
      </c>
      <c r="N555" s="6" t="str">
        <f>'[1]V, inciso p) (OP)'!X291</f>
        <v>SPC050127BR0</v>
      </c>
      <c r="O555" s="11">
        <f t="shared" si="12"/>
        <v>7995377.7399999993</v>
      </c>
      <c r="P555" s="11">
        <v>7649359.25</v>
      </c>
      <c r="Q555" s="14" t="s">
        <v>1063</v>
      </c>
      <c r="R555" s="15">
        <f>H555/3158</f>
        <v>2531.7852248258391</v>
      </c>
      <c r="S555" s="7" t="s">
        <v>41</v>
      </c>
      <c r="T555" s="12">
        <v>2059</v>
      </c>
      <c r="U555" s="13" t="s">
        <v>42</v>
      </c>
      <c r="V555" s="43" t="s">
        <v>43</v>
      </c>
      <c r="W555" s="10">
        <f>'[1]V, inciso p) (OP)'!AM291</f>
        <v>43082</v>
      </c>
      <c r="X555" s="10">
        <f>'[1]V, inciso p) (OP)'!AN291</f>
        <v>43201</v>
      </c>
      <c r="Y555" s="7" t="s">
        <v>360</v>
      </c>
      <c r="Z555" s="7" t="s">
        <v>361</v>
      </c>
      <c r="AA555" s="7" t="s">
        <v>362</v>
      </c>
      <c r="AB555" s="21" t="s">
        <v>2727</v>
      </c>
      <c r="AC555" s="6" t="s">
        <v>2438</v>
      </c>
      <c r="AD555" s="6"/>
    </row>
    <row r="556" spans="1:30" ht="69.95" customHeight="1">
      <c r="A556" s="34">
        <v>292</v>
      </c>
      <c r="B556" s="7">
        <v>2017</v>
      </c>
      <c r="C556" s="6" t="str">
        <f>'[1]V, inciso p) (OP)'!B292</f>
        <v>Licitación por Invitación Restringida</v>
      </c>
      <c r="D556" s="6" t="str">
        <f>'[1]V, inciso p) (OP)'!D292</f>
        <v>DOPI-MUN-RM-PAV-CI-292-2017</v>
      </c>
      <c r="E556" s="10">
        <f>'[1]V, inciso p) (OP)'!AD292</f>
        <v>43082</v>
      </c>
      <c r="F556" s="32" t="str">
        <f>'[1]V, inciso p) (OP)'!AL292</f>
        <v>Pavimentación con concreto hidráulico de Av. Jesús, de calle Prol. Acueducto a calle Marina Mazatlan, incluye: Agua potable, drenaje sanitario, guarniciones, banquetas y alumbrado público, en la colonias La Tuzania Ejidal,  Tuzania, La Casita, Las Bóvedas y Santa Margarita Residencial, Frente 2, municipio de Zapopan, Jalisco.</v>
      </c>
      <c r="G556" s="6" t="s">
        <v>63</v>
      </c>
      <c r="H556" s="25">
        <v>2345937.4300000002</v>
      </c>
      <c r="I556" s="6" t="str">
        <f>'[1]V, inciso p) (OP)'!AS292</f>
        <v>Colonias La Tuzania Ejidal,  Tuzania, La Casita, Las Bóvedas y Santa Margarita Residencial</v>
      </c>
      <c r="J556" s="6" t="str">
        <f>'[1]V, inciso p) (OP)'!T292</f>
        <v>JOSÉ DE JESÚS</v>
      </c>
      <c r="K556" s="6" t="str">
        <f>'[1]V, inciso p) (OP)'!U292</f>
        <v xml:space="preserve">CASTILLO </v>
      </c>
      <c r="L556" s="6" t="str">
        <f>'[1]V, inciso p) (OP)'!V292</f>
        <v>CARRILLO</v>
      </c>
      <c r="M556" s="6" t="s">
        <v>3143</v>
      </c>
      <c r="N556" s="6" t="str">
        <f>'[1]V, inciso p) (OP)'!X292</f>
        <v>MOP080610I53</v>
      </c>
      <c r="O556" s="11">
        <f t="shared" si="12"/>
        <v>2345937.4300000002</v>
      </c>
      <c r="P556" s="11">
        <v>2236723.25</v>
      </c>
      <c r="Q556" s="14" t="s">
        <v>1064</v>
      </c>
      <c r="R556" s="15">
        <f>O556/1230</f>
        <v>1907.2662032520327</v>
      </c>
      <c r="S556" s="7" t="s">
        <v>41</v>
      </c>
      <c r="T556" s="12">
        <v>2059</v>
      </c>
      <c r="U556" s="13" t="s">
        <v>42</v>
      </c>
      <c r="V556" s="43" t="s">
        <v>43</v>
      </c>
      <c r="W556" s="10">
        <f>'[1]V, inciso p) (OP)'!AM292</f>
        <v>43082</v>
      </c>
      <c r="X556" s="10">
        <f>'[1]V, inciso p) (OP)'!AN292</f>
        <v>43201</v>
      </c>
      <c r="Y556" s="7" t="s">
        <v>360</v>
      </c>
      <c r="Z556" s="7" t="s">
        <v>361</v>
      </c>
      <c r="AA556" s="7" t="s">
        <v>362</v>
      </c>
      <c r="AB556" s="21" t="s">
        <v>1332</v>
      </c>
      <c r="AC556" s="6" t="s">
        <v>2438</v>
      </c>
      <c r="AD556" s="6"/>
    </row>
    <row r="557" spans="1:30" ht="69.95" customHeight="1">
      <c r="A557" s="34">
        <v>293</v>
      </c>
      <c r="B557" s="7">
        <v>2017</v>
      </c>
      <c r="C557" s="6" t="str">
        <f>'[1]V, inciso p) (OP)'!B293</f>
        <v>Licitación por Invitación Restringida</v>
      </c>
      <c r="D557" s="6" t="str">
        <f>'[1]V, inciso p) (OP)'!D293</f>
        <v>DOPI-MUN-RM-PAV-CI-293-2017</v>
      </c>
      <c r="E557" s="10">
        <f>'[1]V, inciso p) (OP)'!AD293</f>
        <v>43082</v>
      </c>
      <c r="F557" s="6" t="str">
        <f>'[1]V, inciso p) (OP)'!AL293</f>
        <v>Pavimentación con concreto hidráulico de la calle Las Garzas, de carretera Colotlán a calle Pavoreal, incluye: Agua potable, drenaje sanitario, guarniciones, banquetas y alumbrado público, en la vinatera, municipio de Zapopan, Jalisco.</v>
      </c>
      <c r="G557" s="6" t="s">
        <v>63</v>
      </c>
      <c r="H557" s="25">
        <v>8493500.0099999998</v>
      </c>
      <c r="I557" s="6" t="str">
        <f>'[1]V, inciso p) (OP)'!AS293</f>
        <v>Colonia La Vinatera</v>
      </c>
      <c r="J557" s="6" t="str">
        <f>'[1]V, inciso p) (OP)'!T293</f>
        <v>JUAN PABLO</v>
      </c>
      <c r="K557" s="6" t="str">
        <f>'[1]V, inciso p) (OP)'!U293</f>
        <v>VERA</v>
      </c>
      <c r="L557" s="6" t="str">
        <f>'[1]V, inciso p) (OP)'!V293</f>
        <v>TAVARES</v>
      </c>
      <c r="M557" s="6" t="s">
        <v>3215</v>
      </c>
      <c r="N557" s="6" t="str">
        <f>'[1]V, inciso p) (OP)'!X293</f>
        <v>LCO080228DN2</v>
      </c>
      <c r="O557" s="11">
        <f t="shared" si="12"/>
        <v>8493500.0099999998</v>
      </c>
      <c r="P557" s="11">
        <v>6429211.54</v>
      </c>
      <c r="Q557" s="14" t="s">
        <v>1065</v>
      </c>
      <c r="R557" s="15">
        <f>H557/5300</f>
        <v>1602.5471716981131</v>
      </c>
      <c r="S557" s="7" t="s">
        <v>41</v>
      </c>
      <c r="T557" s="12">
        <v>697</v>
      </c>
      <c r="U557" s="13" t="s">
        <v>42</v>
      </c>
      <c r="V557" s="43" t="s">
        <v>43</v>
      </c>
      <c r="W557" s="10">
        <f>'[1]V, inciso p) (OP)'!AM293</f>
        <v>43082</v>
      </c>
      <c r="X557" s="10">
        <f>'[1]V, inciso p) (OP)'!AN293</f>
        <v>43201</v>
      </c>
      <c r="Y557" s="7" t="s">
        <v>460</v>
      </c>
      <c r="Z557" s="7" t="s">
        <v>302</v>
      </c>
      <c r="AA557" s="7" t="s">
        <v>303</v>
      </c>
      <c r="AB557" s="21" t="s">
        <v>2728</v>
      </c>
      <c r="AC557" s="6" t="s">
        <v>2438</v>
      </c>
      <c r="AD557" s="6"/>
    </row>
    <row r="558" spans="1:30" ht="69.95" customHeight="1">
      <c r="A558" s="34">
        <v>294</v>
      </c>
      <c r="B558" s="7">
        <v>2017</v>
      </c>
      <c r="C558" s="6" t="str">
        <f>'[1]V, inciso p) (OP)'!B294</f>
        <v>Licitación por Invitación Restringida</v>
      </c>
      <c r="D558" s="6" t="str">
        <f>'[1]V, inciso p) (OP)'!D294</f>
        <v>DOPI-MUN-RM-ID-CI-294-2017</v>
      </c>
      <c r="E558" s="10">
        <f>'[1]V, inciso p) (OP)'!AD294</f>
        <v>43082</v>
      </c>
      <c r="F558" s="6" t="str">
        <f>'[1]V, inciso p) (OP)'!AL294</f>
        <v>Rehabilitación de la Unidad Deportiva Paseos de Sol, Frente 1 (rehabilitación de canchas de béisbol, gradas, rehabilitación de baños vestidores,  colocación de back stop), en la colonia Paseos del Sol, municipio de Zapopan, Jalisco.</v>
      </c>
      <c r="G558" s="6" t="s">
        <v>63</v>
      </c>
      <c r="H558" s="25">
        <v>8715227.8699999992</v>
      </c>
      <c r="I558" s="6" t="str">
        <f>'[1]V, inciso p) (OP)'!AS294</f>
        <v>Colonia Paseos del Sol</v>
      </c>
      <c r="J558" s="6" t="str">
        <f>'[1]V, inciso p) (OP)'!T294</f>
        <v>CARLOS ALBERTO</v>
      </c>
      <c r="K558" s="6" t="str">
        <f>'[1]V, inciso p) (OP)'!U294</f>
        <v>VILLASEÑOR</v>
      </c>
      <c r="L558" s="6" t="str">
        <f>'[1]V, inciso p) (OP)'!V294</f>
        <v>NÚÑEZ</v>
      </c>
      <c r="M558" s="6" t="s">
        <v>3216</v>
      </c>
      <c r="N558" s="6" t="str">
        <f>'[1]V, inciso p) (OP)'!X294</f>
        <v>MME011214IV5</v>
      </c>
      <c r="O558" s="11">
        <f t="shared" si="12"/>
        <v>8715227.8699999992</v>
      </c>
      <c r="P558" s="11">
        <v>8543908.1999999993</v>
      </c>
      <c r="Q558" s="14" t="s">
        <v>1066</v>
      </c>
      <c r="R558" s="15">
        <f>H558/3028</f>
        <v>2878.2126387054159</v>
      </c>
      <c r="S558" s="7" t="s">
        <v>41</v>
      </c>
      <c r="T558" s="12">
        <v>38952</v>
      </c>
      <c r="U558" s="13" t="s">
        <v>42</v>
      </c>
      <c r="V558" s="43" t="s">
        <v>43</v>
      </c>
      <c r="W558" s="10">
        <f>'[1]V, inciso p) (OP)'!AM294</f>
        <v>43082</v>
      </c>
      <c r="X558" s="10">
        <f>'[1]V, inciso p) (OP)'!AN294</f>
        <v>43186</v>
      </c>
      <c r="Y558" s="7" t="s">
        <v>603</v>
      </c>
      <c r="Z558" s="7" t="s">
        <v>604</v>
      </c>
      <c r="AA558" s="7" t="s">
        <v>605</v>
      </c>
      <c r="AB558" s="21" t="s">
        <v>2729</v>
      </c>
      <c r="AC558" s="6" t="s">
        <v>2438</v>
      </c>
      <c r="AD558" s="6"/>
    </row>
    <row r="559" spans="1:30" ht="69.95" customHeight="1">
      <c r="A559" s="34">
        <v>295</v>
      </c>
      <c r="B559" s="7">
        <v>2017</v>
      </c>
      <c r="C559" s="6" t="str">
        <f>'[1]V, inciso p) (OP)'!B295</f>
        <v>Licitación por Invitación Restringida</v>
      </c>
      <c r="D559" s="6" t="str">
        <f>'[1]V, inciso p) (OP)'!D295</f>
        <v>DOPI-MUN-RM-ID-CI-295-2017</v>
      </c>
      <c r="E559" s="10">
        <f>'[1]V, inciso p) (OP)'!AD295</f>
        <v>43088</v>
      </c>
      <c r="F559" s="6" t="str">
        <f>'[1]V, inciso p) (OP)'!AL295</f>
        <v>Rehabilitación de la Unidad Deportiva Paseos de Sol, Frente 2 (cancha de usos múltiples, juegos infantiles, alumbrado y cercado perimetral), en la colonia Paseos del Sol, municipio de Zapopan, Jalisco.</v>
      </c>
      <c r="G559" s="6" t="s">
        <v>63</v>
      </c>
      <c r="H559" s="25">
        <v>3989821.13</v>
      </c>
      <c r="I559" s="6" t="str">
        <f>'[1]V, inciso p) (OP)'!AS295</f>
        <v>Colonia Paseos del Sol</v>
      </c>
      <c r="J559" s="6" t="str">
        <f>'[1]V, inciso p) (OP)'!T295</f>
        <v>RICARDO</v>
      </c>
      <c r="K559" s="6" t="str">
        <f>'[1]V, inciso p) (OP)'!U295</f>
        <v>HARO</v>
      </c>
      <c r="L559" s="6" t="str">
        <f>'[1]V, inciso p) (OP)'!V295</f>
        <v>BUGARIN</v>
      </c>
      <c r="M559" s="6" t="s">
        <v>3217</v>
      </c>
      <c r="N559" s="6" t="str">
        <f>'[1]V, inciso p) (OP)'!X295</f>
        <v>CED030514T47</v>
      </c>
      <c r="O559" s="11">
        <f t="shared" si="12"/>
        <v>3989821.13</v>
      </c>
      <c r="P559" s="11">
        <v>3665289.04</v>
      </c>
      <c r="Q559" s="14" t="s">
        <v>865</v>
      </c>
      <c r="R559" s="15">
        <f>H559/1504</f>
        <v>2652.8066023936171</v>
      </c>
      <c r="S559" s="7" t="s">
        <v>41</v>
      </c>
      <c r="T559" s="12">
        <v>38952</v>
      </c>
      <c r="U559" s="13" t="s">
        <v>42</v>
      </c>
      <c r="V559" s="43" t="s">
        <v>43</v>
      </c>
      <c r="W559" s="10">
        <f>'[1]V, inciso p) (OP)'!AM295</f>
        <v>43088</v>
      </c>
      <c r="X559" s="10">
        <f>'[1]V, inciso p) (OP)'!AN295</f>
        <v>43192</v>
      </c>
      <c r="Y559" s="7" t="s">
        <v>603</v>
      </c>
      <c r="Z559" s="7" t="s">
        <v>604</v>
      </c>
      <c r="AA559" s="7" t="s">
        <v>605</v>
      </c>
      <c r="AB559" s="21" t="s">
        <v>2730</v>
      </c>
      <c r="AC559" s="6" t="s">
        <v>2438</v>
      </c>
      <c r="AD559" s="6"/>
    </row>
    <row r="560" spans="1:30" ht="69.95" customHeight="1">
      <c r="A560" s="34">
        <v>296</v>
      </c>
      <c r="B560" s="7">
        <v>2017</v>
      </c>
      <c r="C560" s="6" t="str">
        <f>'[1]V, inciso p) (OP)'!B296</f>
        <v>Licitación por Invitación Restringida</v>
      </c>
      <c r="D560" s="6" t="str">
        <f>'[1]V, inciso p) (OP)'!D296</f>
        <v>DOPI-MUN-RM-BAN-CI-296-2017</v>
      </c>
      <c r="E560" s="10">
        <f>'[1]V, inciso p) (OP)'!AD296</f>
        <v>43082</v>
      </c>
      <c r="F560" s="6" t="str">
        <f>'[1]V, inciso p) (OP)'!AL296</f>
        <v>Peatonalización en varias colonias y vialidades del municipio (Incluye: machuelos, banquetas, accesibilidad universal y bolardos). Primera Etapa, municipio de Zapopan, Jalisco.</v>
      </c>
      <c r="G560" s="6" t="s">
        <v>63</v>
      </c>
      <c r="H560" s="25">
        <v>8241710.4699999997</v>
      </c>
      <c r="I560" s="6" t="s">
        <v>1317</v>
      </c>
      <c r="J560" s="6" t="str">
        <f>'[1]V, inciso p) (OP)'!T296</f>
        <v>IRMA NOEMI</v>
      </c>
      <c r="K560" s="6" t="str">
        <f>'[1]V, inciso p) (OP)'!U296</f>
        <v>HERNÁNDEZ</v>
      </c>
      <c r="L560" s="6" t="str">
        <f>'[1]V, inciso p) (OP)'!V296</f>
        <v>ESPINOZA</v>
      </c>
      <c r="M560" s="6" t="s">
        <v>3218</v>
      </c>
      <c r="N560" s="6" t="str">
        <f>'[1]V, inciso p) (OP)'!X296</f>
        <v>ASU140117G73</v>
      </c>
      <c r="O560" s="11">
        <f t="shared" si="12"/>
        <v>8241710.4699999997</v>
      </c>
      <c r="P560" s="11">
        <f t="shared" ref="P560" si="14">O560</f>
        <v>8241710.4699999997</v>
      </c>
      <c r="Q560" s="14" t="s">
        <v>1067</v>
      </c>
      <c r="R560" s="15">
        <f>H560/5507</f>
        <v>1496.5880642818231</v>
      </c>
      <c r="S560" s="7" t="s">
        <v>41</v>
      </c>
      <c r="T560" s="12">
        <v>98421</v>
      </c>
      <c r="U560" s="13" t="s">
        <v>42</v>
      </c>
      <c r="V560" s="7" t="s">
        <v>373</v>
      </c>
      <c r="W560" s="10">
        <f>'[1]V, inciso p) (OP)'!AM296</f>
        <v>43082</v>
      </c>
      <c r="X560" s="10">
        <f>'[1]V, inciso p) (OP)'!AN296</f>
        <v>43231</v>
      </c>
      <c r="Y560" s="7" t="s">
        <v>462</v>
      </c>
      <c r="Z560" s="7" t="s">
        <v>310</v>
      </c>
      <c r="AA560" s="7" t="s">
        <v>130</v>
      </c>
      <c r="AB560" s="21" t="s">
        <v>2731</v>
      </c>
      <c r="AC560" s="6" t="s">
        <v>2438</v>
      </c>
      <c r="AD560" s="6"/>
    </row>
    <row r="561" spans="1:30" ht="69.95" customHeight="1">
      <c r="A561" s="34">
        <v>297</v>
      </c>
      <c r="B561" s="7">
        <v>2017</v>
      </c>
      <c r="C561" s="6" t="str">
        <f>'[1]V, inciso p) (OP)'!B297</f>
        <v>Licitación por Invitación Restringida</v>
      </c>
      <c r="D561" s="6" t="str">
        <f>'[1]V, inciso p) (OP)'!D297</f>
        <v>DOPI-MUN-R33-IS-CI-297-2017</v>
      </c>
      <c r="E561" s="10">
        <f>'[1]V, inciso p) (OP)'!AD297</f>
        <v>43082</v>
      </c>
      <c r="F561" s="6" t="str">
        <f>'[1]V, inciso p) (OP)'!AL297</f>
        <v>Construcción de red de drenaje y red de agua potable de calles de la colonia Lomas del Centinela II, segunda etapa, municipio de Zapopan, Jalisco.</v>
      </c>
      <c r="G561" s="6" t="s">
        <v>3326</v>
      </c>
      <c r="H561" s="25">
        <v>7996862.4500000002</v>
      </c>
      <c r="I561" s="6" t="str">
        <f>'[1]V, inciso p) (OP)'!AS297</f>
        <v>Colonia Lomas del Centinela II</v>
      </c>
      <c r="J561" s="6" t="str">
        <f>'[1]V, inciso p) (OP)'!T297</f>
        <v>OMAR</v>
      </c>
      <c r="K561" s="6" t="str">
        <f>'[1]V, inciso p) (OP)'!U297</f>
        <v>TORRES</v>
      </c>
      <c r="L561" s="6" t="str">
        <f>'[1]V, inciso p) (OP)'!V297</f>
        <v>RAMOS</v>
      </c>
      <c r="M561" s="6" t="s">
        <v>3219</v>
      </c>
      <c r="N561" s="6" t="str">
        <f>'[1]V, inciso p) (OP)'!X297</f>
        <v>GCO070524GT1</v>
      </c>
      <c r="O561" s="11">
        <f t="shared" si="12"/>
        <v>7996862.4500000002</v>
      </c>
      <c r="P561" s="11">
        <v>7996859.9900000002</v>
      </c>
      <c r="Q561" s="14" t="s">
        <v>1068</v>
      </c>
      <c r="R561" s="15">
        <f>H561/1910</f>
        <v>4186.838979057592</v>
      </c>
      <c r="S561" s="7" t="s">
        <v>41</v>
      </c>
      <c r="T561" s="12">
        <v>291</v>
      </c>
      <c r="U561" s="13" t="s">
        <v>42</v>
      </c>
      <c r="V561" s="7" t="s">
        <v>43</v>
      </c>
      <c r="W561" s="10">
        <f>'[1]V, inciso p) (OP)'!AM297</f>
        <v>43082</v>
      </c>
      <c r="X561" s="10">
        <f>'[1]V, inciso p) (OP)'!AN297</f>
        <v>43100</v>
      </c>
      <c r="Y561" s="7" t="s">
        <v>753</v>
      </c>
      <c r="Z561" s="7" t="s">
        <v>827</v>
      </c>
      <c r="AA561" s="7" t="s">
        <v>755</v>
      </c>
      <c r="AB561" s="21" t="s">
        <v>2732</v>
      </c>
      <c r="AC561" s="6" t="s">
        <v>2438</v>
      </c>
      <c r="AD561" s="6"/>
    </row>
    <row r="562" spans="1:30" ht="69.95" customHeight="1">
      <c r="A562" s="34">
        <v>298</v>
      </c>
      <c r="B562" s="7">
        <v>2017</v>
      </c>
      <c r="C562" s="6" t="str">
        <f>'[1]V, inciso p) (OP)'!B298</f>
        <v>Licitación por Invitación Restringida</v>
      </c>
      <c r="D562" s="6" t="str">
        <f>'[1]V, inciso p) (OP)'!D298</f>
        <v>DOPI-MUN-R33-IS-CI-298-2017</v>
      </c>
      <c r="E562" s="10">
        <f>'[1]V, inciso p) (OP)'!AD298</f>
        <v>43082</v>
      </c>
      <c r="F562" s="6" t="str">
        <f>'[1]V, inciso p) (OP)'!AL298</f>
        <v>Construcción de colector y complemento de servicios básicos en la colonia La Magdalena, primera etapa, municipio de Zapopan, Jalisco.</v>
      </c>
      <c r="G562" s="6" t="s">
        <v>3325</v>
      </c>
      <c r="H562" s="25">
        <v>5994261</v>
      </c>
      <c r="I562" s="6" t="str">
        <f>'[1]V, inciso p) (OP)'!AS298</f>
        <v>Colonia La Magdalena</v>
      </c>
      <c r="J562" s="6" t="str">
        <f>'[1]V, inciso p) (OP)'!T298</f>
        <v>DAVID</v>
      </c>
      <c r="K562" s="6" t="str">
        <f>'[1]V, inciso p) (OP)'!U298</f>
        <v>HERNÁNDEZ</v>
      </c>
      <c r="L562" s="6" t="str">
        <f>'[1]V, inciso p) (OP)'!V298</f>
        <v>ESQUIVEL</v>
      </c>
      <c r="M562" s="6" t="s">
        <v>3220</v>
      </c>
      <c r="N562" s="6" t="str">
        <f>'[1]V, inciso p) (OP)'!X298</f>
        <v>AEB000705CS2</v>
      </c>
      <c r="O562" s="11">
        <f t="shared" si="12"/>
        <v>5994261</v>
      </c>
      <c r="P562" s="11">
        <v>5994261</v>
      </c>
      <c r="Q562" s="14" t="s">
        <v>1069</v>
      </c>
      <c r="R562" s="15">
        <f>H562/436</f>
        <v>13748.305045871559</v>
      </c>
      <c r="S562" s="7" t="s">
        <v>41</v>
      </c>
      <c r="T562" s="12">
        <v>645</v>
      </c>
      <c r="U562" s="13" t="s">
        <v>42</v>
      </c>
      <c r="V562" s="7" t="s">
        <v>43</v>
      </c>
      <c r="W562" s="10">
        <f>'[1]V, inciso p) (OP)'!AM298</f>
        <v>43082</v>
      </c>
      <c r="X562" s="10">
        <f>'[1]V, inciso p) (OP)'!AN298</f>
        <v>43100</v>
      </c>
      <c r="Y562" s="7" t="s">
        <v>460</v>
      </c>
      <c r="Z562" s="7" t="s">
        <v>302</v>
      </c>
      <c r="AA562" s="7" t="s">
        <v>303</v>
      </c>
      <c r="AB562" s="21" t="s">
        <v>2733</v>
      </c>
      <c r="AC562" s="6" t="s">
        <v>2438</v>
      </c>
      <c r="AD562" s="6"/>
    </row>
    <row r="563" spans="1:30" ht="69.95" customHeight="1">
      <c r="A563" s="34">
        <v>299</v>
      </c>
      <c r="B563" s="7">
        <v>2017</v>
      </c>
      <c r="C563" s="6" t="str">
        <f>'[1]V, inciso p) (OP)'!B299</f>
        <v>Licitación por Invitación Restringida</v>
      </c>
      <c r="D563" s="6" t="str">
        <f>'[1]V, inciso p) (OP)'!D299</f>
        <v>DOPI-MUN-CUSMAX-PAV-CI-299-2017</v>
      </c>
      <c r="E563" s="10">
        <f>'[1]V, inciso p) (OP)'!AD299</f>
        <v>43082</v>
      </c>
      <c r="F563" s="6" t="str">
        <f>'[1]V, inciso p) (OP)'!AL299</f>
        <v>Construcción de Parque Lineal en la Av. Patria, de Av. Acueducto - Eva Briseño-Av. Américas, tercera etapa: cruceros seguros, accesibilidades y semaforización, municipio de Zapopan, Jalisco.</v>
      </c>
      <c r="G563" s="6" t="s">
        <v>3332</v>
      </c>
      <c r="H563" s="25">
        <v>5231076.3600000003</v>
      </c>
      <c r="I563" s="6" t="str">
        <f>'[1]V, inciso p) (OP)'!AS299</f>
        <v>Zona Andares</v>
      </c>
      <c r="J563" s="6" t="str">
        <f>'[1]V, inciso p) (OP)'!T299</f>
        <v>GUSTAVO</v>
      </c>
      <c r="K563" s="6" t="str">
        <f>'[1]V, inciso p) (OP)'!U299</f>
        <v>DURAN</v>
      </c>
      <c r="L563" s="6" t="str">
        <f>'[1]V, inciso p) (OP)'!V299</f>
        <v>JIMÉNEZ</v>
      </c>
      <c r="M563" s="6" t="s">
        <v>2150</v>
      </c>
      <c r="N563" s="6" t="str">
        <f>'[1]V, inciso p) (OP)'!X299</f>
        <v>DJA9405184G7</v>
      </c>
      <c r="O563" s="11">
        <f t="shared" si="12"/>
        <v>5231076.3600000003</v>
      </c>
      <c r="P563" s="11">
        <v>4269799.6000000006</v>
      </c>
      <c r="Q563" s="14" t="s">
        <v>1070</v>
      </c>
      <c r="R563" s="15">
        <f>H563/2150</f>
        <v>2433.0587720930234</v>
      </c>
      <c r="S563" s="7" t="s">
        <v>41</v>
      </c>
      <c r="T563" s="12">
        <v>12056</v>
      </c>
      <c r="U563" s="13" t="s">
        <v>42</v>
      </c>
      <c r="V563" s="7" t="s">
        <v>43</v>
      </c>
      <c r="W563" s="10">
        <f>'[1]V, inciso p) (OP)'!AM299</f>
        <v>43082</v>
      </c>
      <c r="X563" s="10">
        <f>'[1]V, inciso p) (OP)'!AN299</f>
        <v>43186</v>
      </c>
      <c r="Y563" s="7" t="s">
        <v>496</v>
      </c>
      <c r="Z563" s="7" t="s">
        <v>497</v>
      </c>
      <c r="AA563" s="7" t="s">
        <v>370</v>
      </c>
      <c r="AB563" s="21" t="s">
        <v>2734</v>
      </c>
      <c r="AC563" s="6" t="s">
        <v>2438</v>
      </c>
      <c r="AD563" s="6"/>
    </row>
    <row r="564" spans="1:30" ht="69.95" customHeight="1">
      <c r="A564" s="34">
        <v>300</v>
      </c>
      <c r="B564" s="7">
        <v>2017</v>
      </c>
      <c r="C564" s="6" t="str">
        <f>'[1]V, inciso p) (OP)'!B300</f>
        <v>Licitación por Invitación Restringida</v>
      </c>
      <c r="D564" s="6" t="str">
        <f>'[1]V, inciso p) (OP)'!D300</f>
        <v>DOPI-MUN-CUSMAX-PAV-CI-300-2017</v>
      </c>
      <c r="E564" s="10">
        <f>'[1]V, inciso p) (OP)'!AD300</f>
        <v>43082</v>
      </c>
      <c r="F564" s="6" t="str">
        <f>'[1]V, inciso p) (OP)'!AL300</f>
        <v>Construcción de crucero seguro en Av. Acueducto y Av. Puerta de Hierro, municipio de Zapopan, Jalisco.</v>
      </c>
      <c r="G564" s="6" t="s">
        <v>3332</v>
      </c>
      <c r="H564" s="25">
        <v>4127441.19</v>
      </c>
      <c r="I564" s="6" t="str">
        <f>'[1]V, inciso p) (OP)'!AS300</f>
        <v>Colonia Puertade Hierro</v>
      </c>
      <c r="J564" s="6" t="str">
        <f>'[1]V, inciso p) (OP)'!T300</f>
        <v>JOSÉ DE JESÚS</v>
      </c>
      <c r="K564" s="6" t="str">
        <f>'[1]V, inciso p) (OP)'!U300</f>
        <v>ROMERO</v>
      </c>
      <c r="L564" s="6" t="str">
        <f>'[1]V, inciso p) (OP)'!V300</f>
        <v>GARCÍA</v>
      </c>
      <c r="M564" s="6" t="s">
        <v>1837</v>
      </c>
      <c r="N564" s="6" t="str">
        <f>'[1]V, inciso p) (OP)'!X300</f>
        <v>URC160310857</v>
      </c>
      <c r="O564" s="11">
        <f t="shared" si="12"/>
        <v>4127441.19</v>
      </c>
      <c r="P564" s="11">
        <f>O564</f>
        <v>4127441.19</v>
      </c>
      <c r="Q564" s="14" t="s">
        <v>1071</v>
      </c>
      <c r="R564" s="15">
        <f>H564/326</f>
        <v>12660.862546012269</v>
      </c>
      <c r="S564" s="7" t="s">
        <v>41</v>
      </c>
      <c r="T564" s="12">
        <v>26598</v>
      </c>
      <c r="U564" s="13" t="s">
        <v>42</v>
      </c>
      <c r="V564" s="7" t="s">
        <v>373</v>
      </c>
      <c r="W564" s="10">
        <f>'[1]V, inciso p) (OP)'!AM300</f>
        <v>43082</v>
      </c>
      <c r="X564" s="10">
        <f>'[1]V, inciso p) (OP)'!AN300</f>
        <v>43186</v>
      </c>
      <c r="Y564" s="7" t="s">
        <v>958</v>
      </c>
      <c r="Z564" s="7" t="s">
        <v>959</v>
      </c>
      <c r="AA564" s="7" t="s">
        <v>861</v>
      </c>
      <c r="AB564" s="21" t="s">
        <v>2735</v>
      </c>
      <c r="AC564" s="6" t="s">
        <v>2438</v>
      </c>
      <c r="AD564" s="6"/>
    </row>
    <row r="565" spans="1:30" ht="69.95" customHeight="1">
      <c r="A565" s="34">
        <v>301</v>
      </c>
      <c r="B565" s="7">
        <v>2017</v>
      </c>
      <c r="C565" s="6" t="str">
        <f>'[1]V, inciso p) (OP)'!B301</f>
        <v>Licitación por Invitación Restringida</v>
      </c>
      <c r="D565" s="6" t="str">
        <f>'[1]V, inciso p) (OP)'!D301</f>
        <v>DOPI-MUN-CUSMAX-IE-CI-301-2017</v>
      </c>
      <c r="E565" s="10">
        <f>'[1]V, inciso p) (OP)'!AD301</f>
        <v>43088</v>
      </c>
      <c r="F565" s="32" t="str">
        <f>'[1]V, inciso p) (OP)'!AL301</f>
        <v>Estructura con lonaria y rehabilitación de Infraestructura en la Escuela C.A.M. Juan José Arreola - Roberto Solís Quiroga (pintura en exterior, impermeabilización, adecuación de banquetas y accesibilidad, rehabilitación de baños, pintura en exterior y malla perimetral), colonia Residencial Moctezuma Poniente, municipio de Zapopan, Jalisco.</v>
      </c>
      <c r="G565" s="6" t="s">
        <v>3332</v>
      </c>
      <c r="H565" s="25">
        <v>3696246.86</v>
      </c>
      <c r="I565" s="6" t="str">
        <f>'[1]V, inciso p) (OP)'!AS301</f>
        <v>Colonia Residencial Moctezuma Poniente</v>
      </c>
      <c r="J565" s="6" t="str">
        <f>'[1]V, inciso p) (OP)'!T301</f>
        <v xml:space="preserve">RODOLFO </v>
      </c>
      <c r="K565" s="6" t="str">
        <f>'[1]V, inciso p) (OP)'!U301</f>
        <v xml:space="preserve">PLASCHINSKI </v>
      </c>
      <c r="L565" s="6" t="str">
        <f>'[1]V, inciso p) (OP)'!V301</f>
        <v>VÁZQUEZ</v>
      </c>
      <c r="M565" s="6" t="s">
        <v>3221</v>
      </c>
      <c r="N565" s="6" t="str">
        <f>'[1]V, inciso p) (OP)'!X301</f>
        <v>CGE0101209V0</v>
      </c>
      <c r="O565" s="11">
        <f t="shared" si="12"/>
        <v>3696246.86</v>
      </c>
      <c r="P565" s="11">
        <v>3303319.0300000003</v>
      </c>
      <c r="Q565" s="14" t="s">
        <v>1072</v>
      </c>
      <c r="R565" s="15">
        <f>H565/642</f>
        <v>5757.3938629283484</v>
      </c>
      <c r="S565" s="7" t="s">
        <v>41</v>
      </c>
      <c r="T565" s="12">
        <v>569</v>
      </c>
      <c r="U565" s="13" t="s">
        <v>42</v>
      </c>
      <c r="V565" s="43" t="s">
        <v>43</v>
      </c>
      <c r="W565" s="10">
        <f>'[1]V, inciso p) (OP)'!AM301</f>
        <v>43088</v>
      </c>
      <c r="X565" s="10">
        <f>'[1]V, inciso p) (OP)'!AN301</f>
        <v>43177</v>
      </c>
      <c r="Y565" s="7" t="s">
        <v>462</v>
      </c>
      <c r="Z565" s="7" t="s">
        <v>310</v>
      </c>
      <c r="AA565" s="7" t="s">
        <v>130</v>
      </c>
      <c r="AB565" s="21" t="s">
        <v>2736</v>
      </c>
      <c r="AC565" s="6" t="s">
        <v>2438</v>
      </c>
      <c r="AD565" s="6"/>
    </row>
    <row r="566" spans="1:30" ht="69.95" customHeight="1">
      <c r="A566" s="34">
        <v>302</v>
      </c>
      <c r="B566" s="7">
        <v>2017</v>
      </c>
      <c r="C566" s="6" t="str">
        <f>'[1]V, inciso p) (OP)'!B302</f>
        <v>Licitación por Invitación Restringida</v>
      </c>
      <c r="D566" s="6" t="str">
        <f>'[1]V, inciso p) (OP)'!D302</f>
        <v>DOPI-MUN-CUSMAX-ID-CI-302-2017</v>
      </c>
      <c r="E566" s="10">
        <f>'[1]V, inciso p) (OP)'!AD302</f>
        <v>43082</v>
      </c>
      <c r="F566" s="32" t="str">
        <f>'[1]V, inciso p) (OP)'!AL302</f>
        <v>Construcción de Unidad Deportiva Arenales Tapatíos 2da Sección (Alcances: Cancha de Futbol 7 con pasto sintético, módulo de baños, cercado perimetral, andador, juegos infantiles, alumbrado público, banquetas y accesibilidad), primera etapa, municipio de Zapopan, Jalisco.</v>
      </c>
      <c r="G566" s="6" t="s">
        <v>3332</v>
      </c>
      <c r="H566" s="25">
        <v>5655079.3700000001</v>
      </c>
      <c r="I566" s="6" t="str">
        <f>'[1]V, inciso p) (OP)'!AS302</f>
        <v>Colonia Arenales Tapatios</v>
      </c>
      <c r="J566" s="6" t="str">
        <f>'[1]V, inciso p) (OP)'!T302</f>
        <v>MARÍA ARCELIA</v>
      </c>
      <c r="K566" s="6" t="str">
        <f>'[1]V, inciso p) (OP)'!U302</f>
        <v>IÑIGUEZ</v>
      </c>
      <c r="L566" s="6" t="str">
        <f>'[1]V, inciso p) (OP)'!V302</f>
        <v>HERNÁNDEZ</v>
      </c>
      <c r="M566" s="6" t="s">
        <v>3182</v>
      </c>
      <c r="N566" s="6" t="str">
        <f>'[1]V, inciso p) (OP)'!X302</f>
        <v>COP1209104M8</v>
      </c>
      <c r="O566" s="11">
        <f t="shared" si="12"/>
        <v>5655079.3700000001</v>
      </c>
      <c r="P566" s="11">
        <v>5646789.46</v>
      </c>
      <c r="Q566" s="14" t="s">
        <v>1073</v>
      </c>
      <c r="R566" s="15">
        <f>H566/3150</f>
        <v>1795.2632920634921</v>
      </c>
      <c r="S566" s="7" t="s">
        <v>41</v>
      </c>
      <c r="T566" s="12">
        <v>2056</v>
      </c>
      <c r="U566" s="13" t="s">
        <v>42</v>
      </c>
      <c r="V566" s="43" t="s">
        <v>43</v>
      </c>
      <c r="W566" s="10">
        <f>'[1]V, inciso p) (OP)'!AM302</f>
        <v>43082</v>
      </c>
      <c r="X566" s="10">
        <f>'[1]V, inciso p) (OP)'!AN302</f>
        <v>43201</v>
      </c>
      <c r="Y566" s="7" t="s">
        <v>411</v>
      </c>
      <c r="Z566" s="7" t="s">
        <v>412</v>
      </c>
      <c r="AA566" s="7" t="s">
        <v>413</v>
      </c>
      <c r="AB566" s="21" t="s">
        <v>2737</v>
      </c>
      <c r="AC566" s="6" t="s">
        <v>2438</v>
      </c>
      <c r="AD566" s="6"/>
    </row>
    <row r="567" spans="1:30" ht="69.95" customHeight="1">
      <c r="A567" s="34">
        <v>303</v>
      </c>
      <c r="B567" s="7">
        <v>2017</v>
      </c>
      <c r="C567" s="6" t="str">
        <f>'[1]V, inciso p) (OP)'!B303</f>
        <v>Invitación a Cuando Menos Tres Personas</v>
      </c>
      <c r="D567" s="6" t="str">
        <f>'[1]V, inciso p) (OP)'!D303</f>
        <v>DOPI-FED-EP-EP-CI-303-2017</v>
      </c>
      <c r="E567" s="10">
        <f>'[1]V, inciso p) (OP)'!AD303</f>
        <v>43082</v>
      </c>
      <c r="F567" s="6" t="str">
        <f>'[1]V, inciso p) (OP)'!AL303</f>
        <v>Mejoramiento físico de espacios públicos, Parque Aurelio Ortega, municipio de Zapopan, Jalisco.</v>
      </c>
      <c r="G567" s="6" t="s">
        <v>3333</v>
      </c>
      <c r="H567" s="25">
        <v>2918783.25</v>
      </c>
      <c r="I567" s="6" t="str">
        <f>'[1]V, inciso p) (OP)'!AS303</f>
        <v>Aurelio Ortega</v>
      </c>
      <c r="J567" s="6" t="str">
        <f>'[1]V, inciso p) (OP)'!T303</f>
        <v>ERNESTO</v>
      </c>
      <c r="K567" s="6" t="str">
        <f>'[1]V, inciso p) (OP)'!U303</f>
        <v>OLIVARES</v>
      </c>
      <c r="L567" s="6" t="str">
        <f>'[1]V, inciso p) (OP)'!V303</f>
        <v>ÁLVAREZ</v>
      </c>
      <c r="M567" s="6" t="s">
        <v>2205</v>
      </c>
      <c r="N567" s="6" t="str">
        <f>'[1]V, inciso p) (OP)'!X303</f>
        <v>SMJ090317FS9</v>
      </c>
      <c r="O567" s="11">
        <f t="shared" si="12"/>
        <v>2918783.25</v>
      </c>
      <c r="P567" s="11">
        <v>2918783.25</v>
      </c>
      <c r="Q567" s="14" t="s">
        <v>1074</v>
      </c>
      <c r="R567" s="15">
        <f>H567/1654</f>
        <v>1764.6815296251511</v>
      </c>
      <c r="S567" s="7" t="s">
        <v>41</v>
      </c>
      <c r="T567" s="12">
        <v>1204</v>
      </c>
      <c r="U567" s="13" t="s">
        <v>42</v>
      </c>
      <c r="V567" s="43" t="s">
        <v>43</v>
      </c>
      <c r="W567" s="10">
        <f>'[1]V, inciso p) (OP)'!AM303</f>
        <v>43082</v>
      </c>
      <c r="X567" s="10">
        <f>'[1]V, inciso p) (OP)'!AN303</f>
        <v>43100</v>
      </c>
      <c r="Y567" s="7" t="s">
        <v>429</v>
      </c>
      <c r="Z567" s="7" t="s">
        <v>72</v>
      </c>
      <c r="AA567" s="7" t="s">
        <v>557</v>
      </c>
      <c r="AB567" s="21" t="s">
        <v>3288</v>
      </c>
      <c r="AC567" s="6" t="s">
        <v>2438</v>
      </c>
      <c r="AD567" s="6"/>
    </row>
    <row r="568" spans="1:30" ht="69.95" customHeight="1">
      <c r="A568" s="34">
        <v>304</v>
      </c>
      <c r="B568" s="7">
        <v>2017</v>
      </c>
      <c r="C568" s="6" t="str">
        <f>'[1]V, inciso p) (OP)'!B304</f>
        <v>Licitación por Invitación Restringida</v>
      </c>
      <c r="D568" s="6" t="str">
        <f>'[1]V, inciso p) (OP)'!D304</f>
        <v>DOPI-MUN-RM-PAV-CI-304-2017</v>
      </c>
      <c r="E568" s="10">
        <f>'[1]V, inciso p) (OP)'!AD304</f>
        <v>43133</v>
      </c>
      <c r="F568" s="6" t="str">
        <f>'[1]V, inciso p) (OP)'!AL304</f>
        <v>Pavimentación de Av. Copalita, de calle Venustiano Carranza a Av. San Cristóbal Magallanes, incluye: banquetas y señalética horizontal, en la colonia Vicente Guerrero, municipio de Zapopan, Jalisco.</v>
      </c>
      <c r="G568" s="6" t="s">
        <v>63</v>
      </c>
      <c r="H568" s="25">
        <v>6216718.1200000001</v>
      </c>
      <c r="I568" s="6" t="str">
        <f>'[1]V, inciso p) (OP)'!AS304</f>
        <v>Colonia Vicente Guerrero</v>
      </c>
      <c r="J568" s="6" t="str">
        <f>'[1]V, inciso p) (OP)'!T304</f>
        <v>PATRICIA LORENA</v>
      </c>
      <c r="K568" s="6" t="str">
        <f>'[1]V, inciso p) (OP)'!U304</f>
        <v xml:space="preserve">GARCÍA </v>
      </c>
      <c r="L568" s="6" t="str">
        <f>'[1]V, inciso p) (OP)'!V304</f>
        <v>MEZA</v>
      </c>
      <c r="M568" s="6" t="s">
        <v>3222</v>
      </c>
      <c r="N568" s="6" t="str">
        <f>'[1]V, inciso p) (OP)'!X304</f>
        <v>AOP140117KA2</v>
      </c>
      <c r="O568" s="11">
        <f t="shared" si="12"/>
        <v>6216718.1200000001</v>
      </c>
      <c r="P568" s="11">
        <f>O568</f>
        <v>6216718.1200000001</v>
      </c>
      <c r="Q568" s="14" t="s">
        <v>1075</v>
      </c>
      <c r="R568" s="15">
        <f>O568/2280</f>
        <v>2726.6307543859648</v>
      </c>
      <c r="S568" s="7" t="s">
        <v>41</v>
      </c>
      <c r="T568" s="12">
        <v>3688</v>
      </c>
      <c r="U568" s="13" t="s">
        <v>42</v>
      </c>
      <c r="V568" s="7" t="s">
        <v>373</v>
      </c>
      <c r="W568" s="10">
        <f>'[1]V, inciso p) (OP)'!AM304</f>
        <v>43133</v>
      </c>
      <c r="X568" s="10">
        <f>'[1]V, inciso p) (OP)'!AN304</f>
        <v>43282</v>
      </c>
      <c r="Y568" s="7" t="s">
        <v>331</v>
      </c>
      <c r="Z568" s="7" t="s">
        <v>332</v>
      </c>
      <c r="AA568" s="7" t="s">
        <v>116</v>
      </c>
      <c r="AB568" s="21" t="s">
        <v>2738</v>
      </c>
      <c r="AC568" s="6" t="s">
        <v>2438</v>
      </c>
      <c r="AD568" s="6"/>
    </row>
    <row r="569" spans="1:30" ht="69.95" customHeight="1">
      <c r="A569" s="34">
        <v>305</v>
      </c>
      <c r="B569" s="7">
        <v>2017</v>
      </c>
      <c r="C569" s="6" t="str">
        <f>'[1]V, inciso p) (OP)'!B305</f>
        <v>Licitación por Invitación Restringida</v>
      </c>
      <c r="D569" s="6" t="str">
        <f>'[1]V, inciso p) (OP)'!D305</f>
        <v>DOPI-MUN-PP-EP-CI-305-2017</v>
      </c>
      <c r="E569" s="10">
        <f>'[1]V, inciso p) (OP)'!AD305</f>
        <v>43088</v>
      </c>
      <c r="F569" s="6" t="str">
        <f>'[1]V, inciso p) (OP)'!AL305</f>
        <v>Construcción de Parque para Adultos Mayores en la Colonia La Calma, municipio de Zapopan, Jalisco.</v>
      </c>
      <c r="G569" s="6" t="s">
        <v>63</v>
      </c>
      <c r="H569" s="25">
        <v>5057688.9000000004</v>
      </c>
      <c r="I569" s="6" t="str">
        <f>'[1]V, inciso p) (OP)'!AS305</f>
        <v>Colonia La Calma</v>
      </c>
      <c r="J569" s="6" t="str">
        <f>'[1]V, inciso p) (OP)'!T305</f>
        <v>JESÚS</v>
      </c>
      <c r="K569" s="6" t="str">
        <f>'[1]V, inciso p) (OP)'!U305</f>
        <v>ARENAS</v>
      </c>
      <c r="L569" s="6" t="str">
        <f>'[1]V, inciso p) (OP)'!V305</f>
        <v>BRAVO</v>
      </c>
      <c r="M569" s="6" t="s">
        <v>3223</v>
      </c>
      <c r="N569" s="6" t="str">
        <f>'[1]V, inciso p) (OP)'!X305</f>
        <v>SIC940317FH7</v>
      </c>
      <c r="O569" s="11">
        <f t="shared" si="12"/>
        <v>5057688.9000000004</v>
      </c>
      <c r="P569" s="11">
        <v>4975483.7299999995</v>
      </c>
      <c r="Q569" s="14" t="s">
        <v>1076</v>
      </c>
      <c r="R569" s="15">
        <f>H569/1307</f>
        <v>3869.6931140015304</v>
      </c>
      <c r="S569" s="7" t="s">
        <v>41</v>
      </c>
      <c r="T569" s="12">
        <v>1026</v>
      </c>
      <c r="U569" s="13" t="s">
        <v>42</v>
      </c>
      <c r="V569" s="43" t="s">
        <v>43</v>
      </c>
      <c r="W569" s="10">
        <f>'[1]V, inciso p) (OP)'!AM305</f>
        <v>43088</v>
      </c>
      <c r="X569" s="10">
        <f>'[1]V, inciso p) (OP)'!AN305</f>
        <v>43174</v>
      </c>
      <c r="Y569" s="7" t="s">
        <v>429</v>
      </c>
      <c r="Z569" s="7" t="s">
        <v>72</v>
      </c>
      <c r="AA569" s="7" t="s">
        <v>557</v>
      </c>
      <c r="AB569" s="21" t="s">
        <v>2739</v>
      </c>
      <c r="AC569" s="6" t="s">
        <v>2438</v>
      </c>
      <c r="AD569" s="6"/>
    </row>
    <row r="570" spans="1:30" ht="69.95" customHeight="1">
      <c r="A570" s="34">
        <v>306</v>
      </c>
      <c r="B570" s="7">
        <v>2017</v>
      </c>
      <c r="C570" s="6" t="str">
        <f>'[1]V, inciso p) (OP)'!B306</f>
        <v>Licitación por Invitación Restringida</v>
      </c>
      <c r="D570" s="6" t="str">
        <f>'[1]V, inciso p) (OP)'!D306</f>
        <v>DOPI-MUN-RM-EP-CI-306-2017</v>
      </c>
      <c r="E570" s="10">
        <f>'[1]V, inciso p) (OP)'!AD306</f>
        <v>43088</v>
      </c>
      <c r="F570" s="6" t="str">
        <f>'[1]V, inciso p) (OP)'!AL306</f>
        <v>Parque incluyente en Colonia Gustavo Diaz Ordaz, Primera Etapa, municipio de Zapopan, Jalisco.</v>
      </c>
      <c r="G570" s="6" t="s">
        <v>63</v>
      </c>
      <c r="H570" s="25">
        <v>7506248.6499999994</v>
      </c>
      <c r="I570" s="6" t="str">
        <f>'[1]V, inciso p) (OP)'!AS306</f>
        <v>Colonia Gustavo Diaz Ordaz</v>
      </c>
      <c r="J570" s="6" t="str">
        <f>'[1]V, inciso p) (OP)'!T306</f>
        <v>JUAN CARLOS</v>
      </c>
      <c r="K570" s="6" t="str">
        <f>'[1]V, inciso p) (OP)'!U306</f>
        <v>SUAZO</v>
      </c>
      <c r="L570" s="6" t="str">
        <f>'[1]V, inciso p) (OP)'!V306</f>
        <v>HERNÁNDEZ</v>
      </c>
      <c r="M570" s="6" t="s">
        <v>2129</v>
      </c>
      <c r="N570" s="6" t="str">
        <f>'[1]V, inciso p) (OP)'!X306</f>
        <v>CCO1304181PA</v>
      </c>
      <c r="O570" s="11">
        <f t="shared" si="12"/>
        <v>7506248.6499999994</v>
      </c>
      <c r="P570" s="11">
        <v>6457950.3199999994</v>
      </c>
      <c r="Q570" s="14" t="s">
        <v>1077</v>
      </c>
      <c r="R570" s="15">
        <f>H570/2291</f>
        <v>3276.4070929725008</v>
      </c>
      <c r="S570" s="7" t="s">
        <v>41</v>
      </c>
      <c r="T570" s="12">
        <v>2069</v>
      </c>
      <c r="U570" s="13" t="s">
        <v>42</v>
      </c>
      <c r="V570" s="43" t="s">
        <v>43</v>
      </c>
      <c r="W570" s="10">
        <f>'[1]V, inciso p) (OP)'!AM306</f>
        <v>43088</v>
      </c>
      <c r="X570" s="10">
        <f>'[1]V, inciso p) (OP)'!AN306</f>
        <v>43174</v>
      </c>
      <c r="Y570" s="7" t="s">
        <v>1009</v>
      </c>
      <c r="Z570" s="7" t="s">
        <v>730</v>
      </c>
      <c r="AA570" s="7" t="s">
        <v>731</v>
      </c>
      <c r="AB570" s="21" t="s">
        <v>2740</v>
      </c>
      <c r="AC570" s="6" t="s">
        <v>2438</v>
      </c>
      <c r="AD570" s="6"/>
    </row>
    <row r="571" spans="1:30" ht="69.95" customHeight="1">
      <c r="A571" s="34">
        <v>307</v>
      </c>
      <c r="B571" s="7">
        <v>2017</v>
      </c>
      <c r="C571" s="6" t="str">
        <f>'[1]V, inciso p) (OP)'!B307</f>
        <v>Licitación por Invitación Restringida</v>
      </c>
      <c r="D571" s="6" t="str">
        <f>'[1]V, inciso p) (OP)'!D307</f>
        <v>DOPI-MUN-CUSMAX-EP-CI-307-2017</v>
      </c>
      <c r="E571" s="10">
        <f>'[1]V, inciso p) (OP)'!AD307</f>
        <v>43088</v>
      </c>
      <c r="F571" s="6" t="str">
        <f>'[1]V, inciso p) (OP)'!AL307</f>
        <v>Rehabilitación de espacio recreativo, sustitución de losas dañadas y machuelos, cancha de futbol rápido, rehabilitación de jardineras, mobiliario urbano, forestación, accesibilidad e iluminación, colonia San Isidro Ejidal, municipio de Zapopan, Jalisco.</v>
      </c>
      <c r="G571" s="6" t="s">
        <v>3332</v>
      </c>
      <c r="H571" s="25">
        <v>3998780.69</v>
      </c>
      <c r="I571" s="6" t="str">
        <f>'[1]V, inciso p) (OP)'!AS307</f>
        <v>Colonia San Isidro Ejidal</v>
      </c>
      <c r="J571" s="6" t="str">
        <f>'[1]V, inciso p) (OP)'!T307</f>
        <v>HÉCTOR RUBÉN</v>
      </c>
      <c r="K571" s="6" t="str">
        <f>'[1]V, inciso p) (OP)'!U307</f>
        <v>PÉREZ</v>
      </c>
      <c r="L571" s="6" t="str">
        <f>'[1]V, inciso p) (OP)'!V307</f>
        <v>VARGAS</v>
      </c>
      <c r="M571" s="6" t="s">
        <v>1975</v>
      </c>
      <c r="N571" s="6" t="str">
        <f>'[1]V, inciso p) (OP)'!X307</f>
        <v>DCO140606CT5</v>
      </c>
      <c r="O571" s="11">
        <f t="shared" si="12"/>
        <v>3998780.69</v>
      </c>
      <c r="P571" s="11">
        <f>O571</f>
        <v>3998780.69</v>
      </c>
      <c r="Q571" s="14" t="s">
        <v>1078</v>
      </c>
      <c r="R571" s="15">
        <f>H571/3524</f>
        <v>1134.727778093076</v>
      </c>
      <c r="S571" s="7" t="s">
        <v>41</v>
      </c>
      <c r="T571" s="12">
        <v>2687</v>
      </c>
      <c r="U571" s="13" t="s">
        <v>42</v>
      </c>
      <c r="V571" s="7" t="s">
        <v>43</v>
      </c>
      <c r="W571" s="10">
        <f>'[1]V, inciso p) (OP)'!AM307</f>
        <v>43088</v>
      </c>
      <c r="X571" s="10">
        <f>'[1]V, inciso p) (OP)'!AN307</f>
        <v>43174</v>
      </c>
      <c r="Y571" s="7" t="s">
        <v>429</v>
      </c>
      <c r="Z571" s="7" t="s">
        <v>72</v>
      </c>
      <c r="AA571" s="7" t="s">
        <v>557</v>
      </c>
      <c r="AB571" s="21" t="s">
        <v>2741</v>
      </c>
      <c r="AC571" s="6" t="s">
        <v>2438</v>
      </c>
      <c r="AD571" s="6"/>
    </row>
    <row r="572" spans="1:30" ht="69.95" customHeight="1">
      <c r="A572" s="34">
        <v>308</v>
      </c>
      <c r="B572" s="7">
        <v>2017</v>
      </c>
      <c r="C572" s="6" t="str">
        <f>'[1]V, inciso p) (OP)'!B308</f>
        <v>Licitación por Invitación Restringida</v>
      </c>
      <c r="D572" s="6" t="str">
        <f>'[1]V, inciso p) (OP)'!D308</f>
        <v>DOPI-MUN-CUSMAX-IE-CI-308-2017</v>
      </c>
      <c r="E572" s="10">
        <f>'[1]V, inciso p) (OP)'!AD308</f>
        <v>43088</v>
      </c>
      <c r="F572" s="32" t="str">
        <f>'[1]V, inciso p) (OP)'!AL308</f>
        <v>Rehabilitación de Infraestructura en el Centro de Capacitación Laboral Benito Juárez (rehabilitación de barda, techos, cisterna, estructura con lonaria, construcción de espacio cívico, pintura en exterior, impermeabilización), colonia Unidad Estatuto Jurídico, municipio de Zapopan, Jalisco.</v>
      </c>
      <c r="G572" s="6" t="s">
        <v>3332</v>
      </c>
      <c r="H572" s="25">
        <v>2795892.55</v>
      </c>
      <c r="I572" s="6" t="str">
        <f>'[1]V, inciso p) (OP)'!AS308</f>
        <v>Colonia Unidad Estatuto Jurídico</v>
      </c>
      <c r="J572" s="6" t="str">
        <f>'[1]V, inciso p) (OP)'!T308</f>
        <v xml:space="preserve">ISIDRO </v>
      </c>
      <c r="K572" s="6" t="str">
        <f>'[1]V, inciso p) (OP)'!U308</f>
        <v xml:space="preserve"> ESPINOZA </v>
      </c>
      <c r="L572" s="6" t="str">
        <f>'[1]V, inciso p) (OP)'!V308</f>
        <v xml:space="preserve"> PERALTA</v>
      </c>
      <c r="M572" s="6" t="s">
        <v>3224</v>
      </c>
      <c r="N572" s="6" t="str">
        <f>'[1]V, inciso p) (OP)'!X308</f>
        <v>PES1105119J6</v>
      </c>
      <c r="O572" s="11">
        <f t="shared" si="12"/>
        <v>2795892.55</v>
      </c>
      <c r="P572" s="11">
        <v>2733055.0092000002</v>
      </c>
      <c r="Q572" s="14" t="s">
        <v>1079</v>
      </c>
      <c r="R572" s="15">
        <f>H572/210</f>
        <v>13313.774047619047</v>
      </c>
      <c r="S572" s="7" t="s">
        <v>41</v>
      </c>
      <c r="T572" s="12">
        <v>563</v>
      </c>
      <c r="U572" s="13" t="s">
        <v>42</v>
      </c>
      <c r="V572" s="43" t="s">
        <v>43</v>
      </c>
      <c r="W572" s="10">
        <f>'[1]V, inciso p) (OP)'!AM308</f>
        <v>43088</v>
      </c>
      <c r="X572" s="10">
        <f>'[1]V, inciso p) (OP)'!AN308</f>
        <v>43177</v>
      </c>
      <c r="Y572" s="7" t="s">
        <v>429</v>
      </c>
      <c r="Z572" s="7" t="s">
        <v>72</v>
      </c>
      <c r="AA572" s="7" t="s">
        <v>557</v>
      </c>
      <c r="AB572" s="21" t="s">
        <v>2742</v>
      </c>
      <c r="AC572" s="6" t="s">
        <v>2438</v>
      </c>
      <c r="AD572" s="6"/>
    </row>
    <row r="573" spans="1:30" ht="69.95" customHeight="1">
      <c r="A573" s="34">
        <v>309</v>
      </c>
      <c r="B573" s="7">
        <v>2017</v>
      </c>
      <c r="C573" s="6" t="str">
        <f>'[1]V, inciso p) (OP)'!B309</f>
        <v>Licitación por Invitación Restringida</v>
      </c>
      <c r="D573" s="6" t="str">
        <f>'[1]V, inciso p) (OP)'!D309</f>
        <v>DOPI-MUN-CUSMAX-ID-CI-309-2017</v>
      </c>
      <c r="E573" s="10">
        <f>'[1]V, inciso p) (OP)'!AD309</f>
        <v>43088</v>
      </c>
      <c r="F573" s="6" t="str">
        <f>'[1]V, inciso p) (OP)'!AL309</f>
        <v>Construcción de la Unidad Deportiva Santa Lucia (Alcances: cancha de futbol 7, gimnasio al aire libre, área de juegos y cercado perimetral, primera etapa, municipio de Zapopan, Jalisco.</v>
      </c>
      <c r="G573" s="6" t="s">
        <v>3332</v>
      </c>
      <c r="H573" s="25">
        <v>3491530.1</v>
      </c>
      <c r="I573" s="6" t="str">
        <f>'[1]V, inciso p) (OP)'!AS309</f>
        <v>Colonia Santa Lucia</v>
      </c>
      <c r="J573" s="6" t="str">
        <f>'[1]V, inciso p) (OP)'!T309</f>
        <v>JOAQUIN</v>
      </c>
      <c r="K573" s="6" t="str">
        <f>'[1]V, inciso p) (OP)'!U309</f>
        <v>RAMÍREZ</v>
      </c>
      <c r="L573" s="6" t="str">
        <f>'[1]V, inciso p) (OP)'!V309</f>
        <v>GALLARDO</v>
      </c>
      <c r="M573" s="6" t="s">
        <v>3087</v>
      </c>
      <c r="N573" s="6" t="str">
        <f>'[1]V, inciso p) (OP)'!X309</f>
        <v>AUR100826KX0</v>
      </c>
      <c r="O573" s="11">
        <f t="shared" si="12"/>
        <v>3491530.1</v>
      </c>
      <c r="P573" s="11">
        <v>2991933.34</v>
      </c>
      <c r="Q573" s="14" t="s">
        <v>1073</v>
      </c>
      <c r="R573" s="15">
        <f>H573/3150</f>
        <v>1108.4222539682539</v>
      </c>
      <c r="S573" s="7" t="s">
        <v>41</v>
      </c>
      <c r="T573" s="12">
        <v>2684</v>
      </c>
      <c r="U573" s="13" t="s">
        <v>42</v>
      </c>
      <c r="V573" s="43" t="s">
        <v>43</v>
      </c>
      <c r="W573" s="10">
        <f>'[1]V, inciso p) (OP)'!AM309</f>
        <v>43088</v>
      </c>
      <c r="X573" s="10">
        <f>'[1]V, inciso p) (OP)'!AN309</f>
        <v>43177</v>
      </c>
      <c r="Y573" s="7" t="s">
        <v>815</v>
      </c>
      <c r="Z573" s="7" t="s">
        <v>816</v>
      </c>
      <c r="AA573" s="7" t="s">
        <v>130</v>
      </c>
      <c r="AB573" s="21" t="s">
        <v>2743</v>
      </c>
      <c r="AC573" s="6" t="s">
        <v>2438</v>
      </c>
      <c r="AD573" s="6"/>
    </row>
    <row r="574" spans="1:30" ht="69.95" customHeight="1">
      <c r="A574" s="34">
        <v>310</v>
      </c>
      <c r="B574" s="7">
        <v>2017</v>
      </c>
      <c r="C574" s="6" t="str">
        <f>'[1]V, inciso p) (OP)'!B310</f>
        <v>Licitación por Invitación Restringida</v>
      </c>
      <c r="D574" s="6" t="str">
        <f>'[1]V, inciso p) (OP)'!D310</f>
        <v>DOPI-MUN-CUSMAX-EP-CI-310-2017</v>
      </c>
      <c r="E574" s="10">
        <f>'[1]V, inciso p) (OP)'!AD310</f>
        <v>43088</v>
      </c>
      <c r="F574" s="6" t="str">
        <f>'[1]V, inciso p) (OP)'!AL310</f>
        <v>Construcción del parque incluyente en Carretera a Tesistán (La Loma), primera etapa, municipio de Zapopan, Jalisco.</v>
      </c>
      <c r="G574" s="6" t="s">
        <v>3332</v>
      </c>
      <c r="H574" s="25">
        <v>4950060.7300000004</v>
      </c>
      <c r="I574" s="6" t="str">
        <f>'[1]V, inciso p) (OP)'!AS310</f>
        <v>Colonia La Loma</v>
      </c>
      <c r="J574" s="6" t="str">
        <f>'[1]V, inciso p) (OP)'!T310</f>
        <v xml:space="preserve">EDUARDO </v>
      </c>
      <c r="K574" s="6" t="str">
        <f>'[1]V, inciso p) (OP)'!U310</f>
        <v>CRUZ</v>
      </c>
      <c r="L574" s="6" t="str">
        <f>'[1]V, inciso p) (OP)'!V310</f>
        <v>MOGUEL</v>
      </c>
      <c r="M574" s="6" t="s">
        <v>1941</v>
      </c>
      <c r="N574" s="6" t="str">
        <f>'[1]V, inciso p) (OP)'!X310</f>
        <v>BAL990803661</v>
      </c>
      <c r="O574" s="11">
        <f t="shared" si="12"/>
        <v>4950060.7300000004</v>
      </c>
      <c r="P574" s="11">
        <v>4950060.72</v>
      </c>
      <c r="Q574" s="14" t="s">
        <v>1080</v>
      </c>
      <c r="R574" s="15">
        <f>H574/3750</f>
        <v>1320.0161946666667</v>
      </c>
      <c r="S574" s="7" t="s">
        <v>41</v>
      </c>
      <c r="T574" s="12">
        <v>985</v>
      </c>
      <c r="U574" s="13" t="s">
        <v>42</v>
      </c>
      <c r="V574" s="43" t="s">
        <v>43</v>
      </c>
      <c r="W574" s="10">
        <f>'[1]V, inciso p) (OP)'!AM310</f>
        <v>43088</v>
      </c>
      <c r="X574" s="10">
        <f>'[1]V, inciso p) (OP)'!AN310</f>
        <v>43177</v>
      </c>
      <c r="Y574" s="7" t="s">
        <v>780</v>
      </c>
      <c r="Z574" s="7" t="s">
        <v>973</v>
      </c>
      <c r="AA574" s="7" t="s">
        <v>159</v>
      </c>
      <c r="AB574" s="21" t="s">
        <v>2888</v>
      </c>
      <c r="AC574" s="6" t="s">
        <v>2438</v>
      </c>
      <c r="AD574" s="6"/>
    </row>
    <row r="575" spans="1:30" ht="69.95" customHeight="1">
      <c r="A575" s="34">
        <v>311</v>
      </c>
      <c r="B575" s="7">
        <v>2017</v>
      </c>
      <c r="C575" s="6" t="str">
        <f>'[1]V, inciso p) (OP)'!B311</f>
        <v>Licitación por Invitación Restringida</v>
      </c>
      <c r="D575" s="6" t="str">
        <f>'[1]V, inciso p) (OP)'!D311</f>
        <v>DOPI-MUN-CUSMAX-EP-CI-311-2017</v>
      </c>
      <c r="E575" s="10">
        <f>'[1]V, inciso p) (OP)'!AD311</f>
        <v>43088</v>
      </c>
      <c r="F575" s="6" t="str">
        <f>'[1]V, inciso p) (OP)'!AL311</f>
        <v>Construcción de terraza para usos múltiples, rehabilitación de alumbrado público, banquetas y accesibilidad en Parque la Calma, municipio de Zapopan, Jalisco.</v>
      </c>
      <c r="G575" s="6" t="s">
        <v>3332</v>
      </c>
      <c r="H575" s="25">
        <v>5123110.2700000005</v>
      </c>
      <c r="I575" s="6" t="str">
        <f>'[1]V, inciso p) (OP)'!AS311</f>
        <v>Colonia La Calma</v>
      </c>
      <c r="J575" s="6" t="str">
        <f>'[1]V, inciso p) (OP)'!T311</f>
        <v>ALEJANDRO</v>
      </c>
      <c r="K575" s="6" t="str">
        <f>'[1]V, inciso p) (OP)'!U311</f>
        <v>GUEVARA</v>
      </c>
      <c r="L575" s="6" t="str">
        <f>'[1]V, inciso p) (OP)'!V311</f>
        <v>CASTELLANOS</v>
      </c>
      <c r="M575" s="6" t="s">
        <v>3206</v>
      </c>
      <c r="N575" s="6" t="str">
        <f>'[1]V, inciso p) (OP)'!X311</f>
        <v>UCA0207107X6</v>
      </c>
      <c r="O575" s="11">
        <f t="shared" si="12"/>
        <v>5123110.2700000005</v>
      </c>
      <c r="P575" s="11">
        <v>5123110.26</v>
      </c>
      <c r="Q575" s="14" t="s">
        <v>1081</v>
      </c>
      <c r="R575" s="15">
        <f>H575/3492</f>
        <v>1467.09916093929</v>
      </c>
      <c r="S575" s="7" t="s">
        <v>41</v>
      </c>
      <c r="T575" s="12">
        <v>825</v>
      </c>
      <c r="U575" s="13" t="s">
        <v>42</v>
      </c>
      <c r="V575" s="43" t="s">
        <v>43</v>
      </c>
      <c r="W575" s="10">
        <f>'[1]V, inciso p) (OP)'!AM311</f>
        <v>43088</v>
      </c>
      <c r="X575" s="10">
        <f>'[1]V, inciso p) (OP)'!AN311</f>
        <v>43177</v>
      </c>
      <c r="Y575" s="7" t="s">
        <v>411</v>
      </c>
      <c r="Z575" s="7" t="s">
        <v>412</v>
      </c>
      <c r="AA575" s="7" t="s">
        <v>413</v>
      </c>
      <c r="AB575" s="21" t="s">
        <v>2744</v>
      </c>
      <c r="AC575" s="6" t="s">
        <v>2438</v>
      </c>
      <c r="AD575" s="6"/>
    </row>
    <row r="576" spans="1:30" ht="69.95" customHeight="1">
      <c r="A576" s="34">
        <v>312</v>
      </c>
      <c r="B576" s="7">
        <v>2017</v>
      </c>
      <c r="C576" s="6" t="str">
        <f>'[1]V, inciso p) (OP)'!B312</f>
        <v>Licitación por Invitación Restringida</v>
      </c>
      <c r="D576" s="6" t="str">
        <f>'[1]V, inciso p) (OP)'!D312</f>
        <v>DOPI-MUN-CUSMAX-EP-CI-312-2017</v>
      </c>
      <c r="E576" s="10">
        <f>'[1]V, inciso p) (OP)'!AD312</f>
        <v>43088</v>
      </c>
      <c r="F576" s="6" t="str">
        <f>'[1]V, inciso p) (OP)'!AL312</f>
        <v>Rehabilitación y Equipamiento del Parque infantil ubicado en la calle Idolina Gaona de Cosío y Octava Oriente, en la colonia Jardines de Nuevo México, municipio de Zapopan, Jalisco.</v>
      </c>
      <c r="G576" s="6" t="s">
        <v>3332</v>
      </c>
      <c r="H576" s="25">
        <v>2886916.94</v>
      </c>
      <c r="I576" s="6" t="str">
        <f>'[1]V, inciso p) (OP)'!AS312</f>
        <v>Colonia Jarfdínes de Nuevo México</v>
      </c>
      <c r="J576" s="6" t="str">
        <f>'[1]V, inciso p) (OP)'!T312</f>
        <v>LUIS REYNALDO</v>
      </c>
      <c r="K576" s="6" t="str">
        <f>'[1]V, inciso p) (OP)'!U312</f>
        <v xml:space="preserve">GALVÁN </v>
      </c>
      <c r="L576" s="6" t="str">
        <f>'[1]V, inciso p) (OP)'!V312</f>
        <v>BERMEJO</v>
      </c>
      <c r="M576" s="6" t="s">
        <v>3225</v>
      </c>
      <c r="N576" s="6" t="str">
        <f>'[1]V, inciso p) (OP)'!X312</f>
        <v>GAC051206TQ3</v>
      </c>
      <c r="O576" s="11">
        <f t="shared" si="12"/>
        <v>2886916.94</v>
      </c>
      <c r="P576" s="11">
        <v>2694720.82</v>
      </c>
      <c r="Q576" s="14" t="s">
        <v>1082</v>
      </c>
      <c r="R576" s="15">
        <f>H576/435</f>
        <v>6636.5906666666669</v>
      </c>
      <c r="S576" s="7" t="s">
        <v>41</v>
      </c>
      <c r="T576" s="12">
        <v>634</v>
      </c>
      <c r="U576" s="13" t="s">
        <v>42</v>
      </c>
      <c r="V576" s="43" t="s">
        <v>43</v>
      </c>
      <c r="W576" s="10">
        <f>'[1]V, inciso p) (OP)'!AM312</f>
        <v>43088</v>
      </c>
      <c r="X576" s="10">
        <f>'[1]V, inciso p) (OP)'!AN312</f>
        <v>43177</v>
      </c>
      <c r="Y576" s="7" t="s">
        <v>331</v>
      </c>
      <c r="Z576" s="7" t="s">
        <v>332</v>
      </c>
      <c r="AA576" s="7" t="s">
        <v>116</v>
      </c>
      <c r="AB576" s="21" t="s">
        <v>2745</v>
      </c>
      <c r="AC576" s="6" t="s">
        <v>2438</v>
      </c>
      <c r="AD576" s="6"/>
    </row>
    <row r="577" spans="1:30" ht="69.95" customHeight="1">
      <c r="A577" s="34">
        <v>313</v>
      </c>
      <c r="B577" s="7">
        <v>2017</v>
      </c>
      <c r="C577" s="6" t="str">
        <f>'[1]V, inciso p) (OP)'!B313</f>
        <v>Licitación por Invitación Restringida</v>
      </c>
      <c r="D577" s="6" t="str">
        <f>'[1]V, inciso p) (OP)'!D313</f>
        <v>DOPI-MUN-CUSMAX-ID-CI-313-2017</v>
      </c>
      <c r="E577" s="10">
        <f>'[1]V, inciso p) (OP)'!AD313</f>
        <v>43088</v>
      </c>
      <c r="F577" s="6" t="str">
        <f>'[1]V, inciso p) (OP)'!AL313</f>
        <v>Construcción de la Unidad Deportiva en el fraccionamiento Valle de Los Molinos, primera etapa, municipio de Zapopan, Jalisco.</v>
      </c>
      <c r="G577" s="6" t="s">
        <v>3332</v>
      </c>
      <c r="H577" s="25">
        <v>5327206.99</v>
      </c>
      <c r="I577" s="6" t="str">
        <f>'[1]V, inciso p) (OP)'!AS313</f>
        <v>Colonia Valle de los Molinos</v>
      </c>
      <c r="J577" s="6" t="str">
        <f>'[1]V, inciso p) (OP)'!T313</f>
        <v>ADALBERTO</v>
      </c>
      <c r="K577" s="6" t="str">
        <f>'[1]V, inciso p) (OP)'!U313</f>
        <v>MEDINA</v>
      </c>
      <c r="L577" s="6" t="str">
        <f>'[1]V, inciso p) (OP)'!V313</f>
        <v>MORALES</v>
      </c>
      <c r="M577" s="6" t="s">
        <v>2010</v>
      </c>
      <c r="N577" s="6" t="str">
        <f>'[1]V, inciso p) (OP)'!X313</f>
        <v>URD130830U21</v>
      </c>
      <c r="O577" s="11">
        <f t="shared" si="12"/>
        <v>5327206.99</v>
      </c>
      <c r="P577" s="11">
        <v>5173339.83</v>
      </c>
      <c r="Q577" s="14" t="s">
        <v>1083</v>
      </c>
      <c r="R577" s="15">
        <f>H577/6136</f>
        <v>868.18888363754888</v>
      </c>
      <c r="S577" s="7" t="s">
        <v>41</v>
      </c>
      <c r="T577" s="12">
        <v>1068</v>
      </c>
      <c r="U577" s="13" t="s">
        <v>42</v>
      </c>
      <c r="V577" s="43" t="s">
        <v>43</v>
      </c>
      <c r="W577" s="10">
        <f>'[1]V, inciso p) (OP)'!AM313</f>
        <v>43088</v>
      </c>
      <c r="X577" s="10">
        <f>'[1]V, inciso p) (OP)'!AN313</f>
        <v>43177</v>
      </c>
      <c r="Y577" s="7" t="s">
        <v>460</v>
      </c>
      <c r="Z577" s="7" t="s">
        <v>302</v>
      </c>
      <c r="AA577" s="7" t="s">
        <v>303</v>
      </c>
      <c r="AB577" s="21" t="s">
        <v>2746</v>
      </c>
      <c r="AC577" s="6" t="s">
        <v>2438</v>
      </c>
      <c r="AD577" s="6"/>
    </row>
    <row r="578" spans="1:30" ht="69.95" customHeight="1">
      <c r="A578" s="34">
        <v>314</v>
      </c>
      <c r="B578" s="7">
        <v>2017</v>
      </c>
      <c r="C578" s="6" t="str">
        <f>'[1]V, inciso p) (OP)'!B314</f>
        <v>Licitación por Invitación Restringida</v>
      </c>
      <c r="D578" s="6" t="str">
        <f>'[1]V, inciso p) (OP)'!D314</f>
        <v>DOPI-MUN-CUSMAX-IE-CI-314-2017</v>
      </c>
      <c r="E578" s="10">
        <f>'[1]V, inciso p) (OP)'!AD314</f>
        <v>43088</v>
      </c>
      <c r="F578" s="32" t="str">
        <f>'[1]V, inciso p) (OP)'!AL314</f>
        <v>Rehabilitación de Infraestructura en la Escuela C.A.M. Sabino Cruz López (Rehabilitación de patio cívico, rehabilitación de juegos, reparación de techo, pintura en exterior, impermeabilización, banquetas y accesibilidad), colonia el Vigía, municipio de Zapopan, Jalisco.</v>
      </c>
      <c r="G578" s="6" t="s">
        <v>3332</v>
      </c>
      <c r="H578" s="25">
        <v>1995958</v>
      </c>
      <c r="I578" s="6" t="str">
        <f>'[1]V, inciso p) (OP)'!AS314</f>
        <v>Colonia El Vigia</v>
      </c>
      <c r="J578" s="6" t="str">
        <f>'[1]V, inciso p) (OP)'!T314</f>
        <v xml:space="preserve">ARTURO </v>
      </c>
      <c r="K578" s="6" t="str">
        <f>'[1]V, inciso p) (OP)'!U314</f>
        <v>DISTANCIA</v>
      </c>
      <c r="L578" s="6" t="str">
        <f>'[1]V, inciso p) (OP)'!V314</f>
        <v>SÁNCHEZ</v>
      </c>
      <c r="M578" s="6" t="s">
        <v>3098</v>
      </c>
      <c r="N578" s="6" t="str">
        <f>'[1]V, inciso p) (OP)'!X314</f>
        <v>JCO160413SK4</v>
      </c>
      <c r="O578" s="11">
        <f t="shared" si="12"/>
        <v>1995958</v>
      </c>
      <c r="P578" s="11">
        <v>1995957.9999999998</v>
      </c>
      <c r="Q578" s="14" t="s">
        <v>1084</v>
      </c>
      <c r="R578" s="15">
        <f>H578/543</f>
        <v>3675.7974217311234</v>
      </c>
      <c r="S578" s="7" t="s">
        <v>41</v>
      </c>
      <c r="T578" s="12">
        <v>355</v>
      </c>
      <c r="U578" s="13" t="s">
        <v>42</v>
      </c>
      <c r="V578" s="43" t="s">
        <v>43</v>
      </c>
      <c r="W578" s="10">
        <f>'[1]V, inciso p) (OP)'!AM314</f>
        <v>43088</v>
      </c>
      <c r="X578" s="10">
        <f>'[1]V, inciso p) (OP)'!AN314</f>
        <v>43177</v>
      </c>
      <c r="Y578" s="7" t="s">
        <v>429</v>
      </c>
      <c r="Z578" s="7" t="s">
        <v>72</v>
      </c>
      <c r="AA578" s="7" t="s">
        <v>557</v>
      </c>
      <c r="AB578" s="21" t="s">
        <v>2747</v>
      </c>
      <c r="AC578" s="6" t="s">
        <v>2438</v>
      </c>
      <c r="AD578" s="6"/>
    </row>
    <row r="579" spans="1:30" ht="69.95" customHeight="1">
      <c r="A579" s="34">
        <v>315</v>
      </c>
      <c r="B579" s="7">
        <v>2017</v>
      </c>
      <c r="C579" s="6" t="str">
        <f>'[1]V, inciso p) (OP)'!B315</f>
        <v>Licitación por Invitación Restringida</v>
      </c>
      <c r="D579" s="6" t="str">
        <f>'[1]V, inciso p) (OP)'!D315</f>
        <v>DOPI-MUN-CUSMAX-EP-CI-315-2017</v>
      </c>
      <c r="E579" s="10">
        <f>'[1]V, inciso p) (OP)'!AD315</f>
        <v>43088</v>
      </c>
      <c r="F579" s="6" t="str">
        <f>'[1]V, inciso p) (OP)'!AL315</f>
        <v>Rehabilitación de espacio recreativa, juegos infantiles, gimnasio al aire libre, sustitución de losas dañadas, andadores, banquetas, accesibilidad y alumbrado, Lomas de Atemajac, municipio de Zapopan, Jalisco.</v>
      </c>
      <c r="G579" s="6" t="s">
        <v>3332</v>
      </c>
      <c r="H579" s="25">
        <v>4050685.94</v>
      </c>
      <c r="I579" s="6" t="str">
        <f>'[1]V, inciso p) (OP)'!AS315</f>
        <v>Colonia Lomas de Atemajac</v>
      </c>
      <c r="J579" s="6" t="str">
        <f>'[1]V, inciso p) (OP)'!T315</f>
        <v>JOSÉ DE JESÚS</v>
      </c>
      <c r="K579" s="6" t="str">
        <f>'[1]V, inciso p) (OP)'!U315</f>
        <v>PALAFOX</v>
      </c>
      <c r="L579" s="6" t="str">
        <f>'[1]V, inciso p) (OP)'!V315</f>
        <v>VILLEGAS</v>
      </c>
      <c r="M579" s="6" t="s">
        <v>3175</v>
      </c>
      <c r="N579" s="6" t="str">
        <f>'[1]V, inciso p) (OP)'!X315</f>
        <v>MCO1510113H8</v>
      </c>
      <c r="O579" s="11">
        <f t="shared" si="12"/>
        <v>4050685.94</v>
      </c>
      <c r="P579" s="11">
        <v>4050685.9343999997</v>
      </c>
      <c r="Q579" s="14" t="s">
        <v>1085</v>
      </c>
      <c r="R579" s="15">
        <f>H579/1850</f>
        <v>2189.5599675675676</v>
      </c>
      <c r="S579" s="7" t="s">
        <v>41</v>
      </c>
      <c r="T579" s="12">
        <v>1678</v>
      </c>
      <c r="U579" s="13" t="s">
        <v>42</v>
      </c>
      <c r="V579" s="43" t="s">
        <v>43</v>
      </c>
      <c r="W579" s="10">
        <f>'[1]V, inciso p) (OP)'!AM315</f>
        <v>43088</v>
      </c>
      <c r="X579" s="10">
        <f>'[1]V, inciso p) (OP)'!AN315</f>
        <v>43177</v>
      </c>
      <c r="Y579" s="7" t="s">
        <v>429</v>
      </c>
      <c r="Z579" s="7" t="s">
        <v>72</v>
      </c>
      <c r="AA579" s="7" t="s">
        <v>557</v>
      </c>
      <c r="AB579" s="21" t="s">
        <v>2748</v>
      </c>
      <c r="AC579" s="6" t="s">
        <v>2438</v>
      </c>
      <c r="AD579" s="6"/>
    </row>
    <row r="580" spans="1:30" ht="69.95" customHeight="1">
      <c r="A580" s="34">
        <v>316</v>
      </c>
      <c r="B580" s="7">
        <v>2017</v>
      </c>
      <c r="C580" s="6" t="str">
        <f>'[1]V, inciso p) (OP)'!B316</f>
        <v>Licitación por Invitación Restringida</v>
      </c>
      <c r="D580" s="6" t="str">
        <f>'[1]V, inciso p) (OP)'!D316</f>
        <v>DOPI-MUN-CUSMAX-IE-CI-316-2017</v>
      </c>
      <c r="E580" s="10">
        <f>'[1]V, inciso p) (OP)'!AD316</f>
        <v>43088</v>
      </c>
      <c r="F580" s="32" t="str">
        <f>'[1]V, inciso p) (OP)'!AL316</f>
        <v>Estructura con lonaria y rehabilitación de Infraestructura en el C.A.M. CITIA (Centro Interdisciplinario para el Tratamiento e Investigación del Autismo) (rehabilitación de patio cívico, adecuación de banquetas y accesibilidad, impermeabilización, pintura en exteriores), colonia Arboledas, municipio de Zapopan, Jalisco.</v>
      </c>
      <c r="G580" s="6" t="s">
        <v>3332</v>
      </c>
      <c r="H580" s="25">
        <v>3092973.17</v>
      </c>
      <c r="I580" s="6" t="str">
        <f>'[1]V, inciso p) (OP)'!AS316</f>
        <v>Colonia Arboledas</v>
      </c>
      <c r="J580" s="6" t="str">
        <f>'[1]V, inciso p) (OP)'!T316</f>
        <v>LORENA MARGARITA</v>
      </c>
      <c r="K580" s="6" t="str">
        <f>'[1]V, inciso p) (OP)'!U316</f>
        <v>LIMÓN</v>
      </c>
      <c r="L580" s="6" t="str">
        <f>'[1]V, inciso p) (OP)'!V316</f>
        <v>GONZÁLEZ</v>
      </c>
      <c r="M580" s="6" t="s">
        <v>3226</v>
      </c>
      <c r="N580" s="6" t="str">
        <f>'[1]V, inciso p) (OP)'!X316</f>
        <v>ISI921126N34</v>
      </c>
      <c r="O580" s="11">
        <f t="shared" si="12"/>
        <v>3092973.17</v>
      </c>
      <c r="P580" s="11">
        <v>3092973.17</v>
      </c>
      <c r="Q580" s="14" t="s">
        <v>1086</v>
      </c>
      <c r="R580" s="15">
        <f>H580/478</f>
        <v>6470.655167364017</v>
      </c>
      <c r="S580" s="7" t="s">
        <v>41</v>
      </c>
      <c r="T580" s="12">
        <v>469</v>
      </c>
      <c r="U580" s="13" t="s">
        <v>42</v>
      </c>
      <c r="V580" s="43" t="s">
        <v>43</v>
      </c>
      <c r="W580" s="10">
        <f>'[1]V, inciso p) (OP)'!AM316</f>
        <v>43088</v>
      </c>
      <c r="X580" s="10">
        <f>'[1]V, inciso p) (OP)'!AN316</f>
        <v>43177</v>
      </c>
      <c r="Y580" s="7" t="s">
        <v>429</v>
      </c>
      <c r="Z580" s="7" t="s">
        <v>72</v>
      </c>
      <c r="AA580" s="7" t="s">
        <v>557</v>
      </c>
      <c r="AB580" s="21" t="s">
        <v>2749</v>
      </c>
      <c r="AC580" s="6" t="s">
        <v>2438</v>
      </c>
      <c r="AD580" s="6"/>
    </row>
    <row r="581" spans="1:30" ht="69.95" customHeight="1">
      <c r="A581" s="34">
        <v>317</v>
      </c>
      <c r="B581" s="7">
        <v>2017</v>
      </c>
      <c r="C581" s="6" t="str">
        <f>'[1]V, inciso p) (OP)'!B317</f>
        <v>Licitación por Invitación Restringida</v>
      </c>
      <c r="D581" s="6" t="str">
        <f>'[1]V, inciso p) (OP)'!D317</f>
        <v>DOPI-MUN-CUSMAX-ID-CI-317-2017</v>
      </c>
      <c r="E581" s="10">
        <f>'[1]V, inciso p) (OP)'!AD317</f>
        <v>43088</v>
      </c>
      <c r="F581" s="6" t="str">
        <f>'[1]V, inciso p) (OP)'!AL317</f>
        <v>Rehabilitación de la Unidad Deportiva Santa Ana Tepetitlán, (Alcances: construcción de cancha de futbol soccer de pasto sintético), primera etapa, municipio de Zapopan, Jalisco.</v>
      </c>
      <c r="G581" s="6" t="s">
        <v>3332</v>
      </c>
      <c r="H581" s="25">
        <v>6742678.3600000003</v>
      </c>
      <c r="I581" s="6" t="str">
        <f>'[1]V, inciso p) (OP)'!AS317</f>
        <v>Colonia Santa Ana Tepetitlán</v>
      </c>
      <c r="J581" s="6" t="str">
        <f>'[1]V, inciso p) (OP)'!T317</f>
        <v>JOSÉ LUIS ROBERTO</v>
      </c>
      <c r="K581" s="6" t="str">
        <f>'[1]V, inciso p) (OP)'!U317</f>
        <v>ULLOA</v>
      </c>
      <c r="L581" s="6" t="str">
        <f>'[1]V, inciso p) (OP)'!V317</f>
        <v>LEAÑO</v>
      </c>
      <c r="M581" s="6" t="s">
        <v>3227</v>
      </c>
      <c r="N581" s="6" t="str">
        <f>'[1]V, inciso p) (OP)'!X317</f>
        <v>EEP070913PY4</v>
      </c>
      <c r="O581" s="11">
        <f t="shared" si="12"/>
        <v>6742678.3600000003</v>
      </c>
      <c r="P581" s="11">
        <v>6742678.3599999994</v>
      </c>
      <c r="Q581" s="14" t="s">
        <v>1087</v>
      </c>
      <c r="R581" s="15">
        <f>H581/4492</f>
        <v>1501.0414870881568</v>
      </c>
      <c r="S581" s="7" t="s">
        <v>41</v>
      </c>
      <c r="T581" s="12">
        <v>2481</v>
      </c>
      <c r="U581" s="13" t="s">
        <v>42</v>
      </c>
      <c r="V581" s="43" t="s">
        <v>43</v>
      </c>
      <c r="W581" s="10">
        <f>'[1]V, inciso p) (OP)'!AM317</f>
        <v>43088</v>
      </c>
      <c r="X581" s="10">
        <f>'[1]V, inciso p) (OP)'!AN317</f>
        <v>43177</v>
      </c>
      <c r="Y581" s="7" t="s">
        <v>722</v>
      </c>
      <c r="Z581" s="7" t="s">
        <v>231</v>
      </c>
      <c r="AA581" s="7" t="s">
        <v>143</v>
      </c>
      <c r="AB581" s="21" t="s">
        <v>2750</v>
      </c>
      <c r="AC581" s="6" t="s">
        <v>2438</v>
      </c>
      <c r="AD581" s="6"/>
    </row>
    <row r="582" spans="1:30" ht="69.95" customHeight="1">
      <c r="A582" s="34">
        <v>320</v>
      </c>
      <c r="B582" s="7">
        <v>2017</v>
      </c>
      <c r="C582" s="6" t="str">
        <f>'[1]V, inciso p) (OP)'!B318</f>
        <v>Licitación por Invitación Restringida</v>
      </c>
      <c r="D582" s="6" t="str">
        <f>'[1]V, inciso p) (OP)'!D318</f>
        <v>DOPI-MUN-RM-IM-CI-320-2017</v>
      </c>
      <c r="E582" s="10">
        <f>'[1]V, inciso p) (OP)'!AD318</f>
        <v>43088</v>
      </c>
      <c r="F582" s="6" t="str">
        <f>'[1]V, inciso p) (OP)'!AL318</f>
        <v>Construcción siete locales comerciales en la localidad de La Venta del Astillero y rehabilitación de bodegas y casa ejidal en la localidad de Santa Lucia, municipio de Zapopan, Jalisco.</v>
      </c>
      <c r="G582" s="6" t="s">
        <v>63</v>
      </c>
      <c r="H582" s="25">
        <v>5044118.71</v>
      </c>
      <c r="I582" s="6" t="str">
        <f>'[1]V, inciso p) (OP)'!AS318</f>
        <v>Localidad Santa Lucia</v>
      </c>
      <c r="J582" s="6" t="str">
        <f>'[1]V, inciso p) (OP)'!T318</f>
        <v>MARÍA DE LOURDES</v>
      </c>
      <c r="K582" s="6" t="str">
        <f>'[1]V, inciso p) (OP)'!U318</f>
        <v>PARRA</v>
      </c>
      <c r="L582" s="6" t="str">
        <f>'[1]V, inciso p) (OP)'!V318</f>
        <v>PRECIADO</v>
      </c>
      <c r="M582" s="6" t="s">
        <v>1959</v>
      </c>
      <c r="N582" s="6" t="str">
        <f>'[1]V, inciso p) (OP)'!X318</f>
        <v>CCA121113SY9</v>
      </c>
      <c r="O582" s="11">
        <f t="shared" si="12"/>
        <v>5044118.71</v>
      </c>
      <c r="P582" s="11">
        <v>4935445.1999999993</v>
      </c>
      <c r="Q582" s="14" t="s">
        <v>1088</v>
      </c>
      <c r="R582" s="15">
        <f>H582/722</f>
        <v>6986.3140027700829</v>
      </c>
      <c r="S582" s="7" t="s">
        <v>41</v>
      </c>
      <c r="T582" s="12">
        <v>126</v>
      </c>
      <c r="U582" s="13" t="s">
        <v>42</v>
      </c>
      <c r="V582" s="43" t="s">
        <v>43</v>
      </c>
      <c r="W582" s="10">
        <f>'[1]V, inciso p) (OP)'!AM318</f>
        <v>43088</v>
      </c>
      <c r="X582" s="10">
        <f>'[1]V, inciso p) (OP)'!AN318</f>
        <v>43207</v>
      </c>
      <c r="Y582" s="7" t="s">
        <v>394</v>
      </c>
      <c r="Z582" s="7" t="s">
        <v>279</v>
      </c>
      <c r="AA582" s="7" t="s">
        <v>78</v>
      </c>
      <c r="AB582" s="21" t="s">
        <v>2751</v>
      </c>
      <c r="AC582" s="6" t="s">
        <v>2438</v>
      </c>
      <c r="AD582" s="6"/>
    </row>
    <row r="583" spans="1:30" ht="69.95" customHeight="1">
      <c r="A583" s="34">
        <v>321</v>
      </c>
      <c r="B583" s="7">
        <v>2017</v>
      </c>
      <c r="C583" s="6" t="str">
        <f>'[1]V, inciso p) (OP)'!B319</f>
        <v>Licitación por Invitación Restringida</v>
      </c>
      <c r="D583" s="6" t="str">
        <f>'[1]V, inciso p) (OP)'!D319</f>
        <v>DOPI-MUN-PP-IS-CI-321-2017</v>
      </c>
      <c r="E583" s="10">
        <f>'[1]V, inciso p) (OP)'!AD319</f>
        <v>43133</v>
      </c>
      <c r="F583" s="6" t="str">
        <f>'[1]V, inciso p) (OP)'!AL319</f>
        <v>Construcción de alberca para rehabilitación de niños con fibrosis muscular (recurso municipal), municipio de Zapopan, Jalisco.</v>
      </c>
      <c r="G583" s="6" t="s">
        <v>63</v>
      </c>
      <c r="H583" s="25">
        <v>2994664.35</v>
      </c>
      <c r="I583" s="6" t="s">
        <v>1099</v>
      </c>
      <c r="J583" s="6" t="str">
        <f>'[1]V, inciso p) (OP)'!T319</f>
        <v>JOSÉ GABRIEL</v>
      </c>
      <c r="K583" s="6" t="str">
        <f>'[1]V, inciso p) (OP)'!U319</f>
        <v xml:space="preserve"> GALLO </v>
      </c>
      <c r="L583" s="6" t="str">
        <f>'[1]V, inciso p) (OP)'!V319</f>
        <v>GONZÁLEZ</v>
      </c>
      <c r="M583" s="6" t="s">
        <v>3228</v>
      </c>
      <c r="N583" s="6" t="str">
        <f>'[1]V, inciso p) (OP)'!X319</f>
        <v>DEI071106LKA</v>
      </c>
      <c r="O583" s="11">
        <f t="shared" si="12"/>
        <v>2994664.35</v>
      </c>
      <c r="P583" s="11">
        <v>2308588.7400000002</v>
      </c>
      <c r="Q583" s="19" t="s">
        <v>1089</v>
      </c>
      <c r="R583" s="15">
        <f>O583/2436</f>
        <v>1229.3367610837438</v>
      </c>
      <c r="S583" s="7" t="s">
        <v>41</v>
      </c>
      <c r="T583" s="12">
        <v>21596</v>
      </c>
      <c r="U583" s="13" t="s">
        <v>42</v>
      </c>
      <c r="V583" s="43" t="s">
        <v>43</v>
      </c>
      <c r="W583" s="10">
        <f>'[1]V, inciso p) (OP)'!AM319</f>
        <v>43133</v>
      </c>
      <c r="X583" s="10">
        <f>'[1]V, inciso p) (OP)'!AN319</f>
        <v>43282</v>
      </c>
      <c r="Y583" s="7" t="s">
        <v>753</v>
      </c>
      <c r="Z583" s="7" t="s">
        <v>827</v>
      </c>
      <c r="AA583" s="7" t="s">
        <v>755</v>
      </c>
      <c r="AB583" s="21" t="s">
        <v>2752</v>
      </c>
      <c r="AC583" s="6" t="s">
        <v>2438</v>
      </c>
      <c r="AD583" s="6"/>
    </row>
    <row r="584" spans="1:30" ht="69.95" customHeight="1">
      <c r="A584" s="34">
        <v>322</v>
      </c>
      <c r="B584" s="7">
        <v>2017</v>
      </c>
      <c r="C584" s="7" t="s">
        <v>62</v>
      </c>
      <c r="D584" s="6" t="str">
        <f>'[1]V, inciso o) (OP)'!C276</f>
        <v>DOPI-MUN-RM-IE-AD-322-2017</v>
      </c>
      <c r="E584" s="10">
        <f>'[1]V, inciso o) (OP)'!V276</f>
        <v>43045</v>
      </c>
      <c r="F584" s="32" t="str">
        <f>'[1]V, inciso o) (OP)'!AA276</f>
        <v>Reforzamiento Complementario de estructuras con lonarias en la Escuela Primaria 5 de Mayo y Bernardo Ortíz de Montellano, matricula 642, colonia Misión del Bosque; Escuela Primaria Rural Luis Pérez Verdía, matricula 220, colonia San Francisco de Ixcatán; Escuela Primaria Rural Mariano Azuela, matricula 198, colonia Río Blanco; Escuela Primaria Rural Miguel Hidalgo y Costilla, matricula 140, Ampliación de Copala, municipio de Zapopan, Jalisco.</v>
      </c>
      <c r="G584" s="6" t="s">
        <v>63</v>
      </c>
      <c r="H584" s="25">
        <v>1664033.71</v>
      </c>
      <c r="I584" s="6" t="s">
        <v>1090</v>
      </c>
      <c r="J584" s="6" t="str">
        <f>'[1]V, inciso o) (OP)'!M276</f>
        <v>J. GERARDO</v>
      </c>
      <c r="K584" s="6" t="str">
        <f>'[1]V, inciso o) (OP)'!N276</f>
        <v>NICANOR</v>
      </c>
      <c r="L584" s="6" t="str">
        <f>'[1]V, inciso o) (OP)'!O276</f>
        <v>MEJIA MARISCAL</v>
      </c>
      <c r="M584" s="6" t="s">
        <v>1886</v>
      </c>
      <c r="N584" s="6" t="str">
        <f>'[1]V, inciso o) (OP)'!Q276</f>
        <v>ICO980722MQ4</v>
      </c>
      <c r="O584" s="11">
        <f t="shared" si="12"/>
        <v>1664033.71</v>
      </c>
      <c r="P584" s="11">
        <v>1428930.3900000001</v>
      </c>
      <c r="Q584" s="7" t="s">
        <v>1091</v>
      </c>
      <c r="R584" s="11">
        <f>H584/1865</f>
        <v>892.24327613941011</v>
      </c>
      <c r="S584" s="7" t="s">
        <v>41</v>
      </c>
      <c r="T584" s="12">
        <v>3689</v>
      </c>
      <c r="U584" s="13" t="s">
        <v>42</v>
      </c>
      <c r="V584" s="43" t="s">
        <v>43</v>
      </c>
      <c r="W584" s="10">
        <f>'[1]V, inciso o) (OP)'!AD276</f>
        <v>43045</v>
      </c>
      <c r="X584" s="10">
        <f>'[1]V, inciso o) (OP)'!AE276</f>
        <v>43100</v>
      </c>
      <c r="Y584" s="7" t="s">
        <v>429</v>
      </c>
      <c r="Z584" s="7" t="s">
        <v>290</v>
      </c>
      <c r="AA584" s="7" t="s">
        <v>73</v>
      </c>
      <c r="AB584" s="21" t="s">
        <v>2753</v>
      </c>
      <c r="AC584" s="6" t="s">
        <v>2438</v>
      </c>
      <c r="AD584" s="6"/>
    </row>
    <row r="585" spans="1:30" ht="69.95" customHeight="1">
      <c r="A585" s="34">
        <v>323</v>
      </c>
      <c r="B585" s="7">
        <v>2017</v>
      </c>
      <c r="C585" s="7" t="s">
        <v>62</v>
      </c>
      <c r="D585" s="6" t="str">
        <f>'[1]V, inciso o) (OP)'!C277</f>
        <v>DOPI-MUN-RM-IH-AD-323-2017</v>
      </c>
      <c r="E585" s="10">
        <f>'[1]V, inciso o) (OP)'!V277</f>
        <v>43040</v>
      </c>
      <c r="F585" s="6" t="str">
        <f>'[1]V, inciso o) (OP)'!AA277</f>
        <v>Construcción de Adecuaciones hidráulicas en la línea de agua potable y alcantarillado en la calle Rizo Ayala y paseo de Las Araucarias y obra civil complementaria, Municipio de Zapopan, Jalisco.</v>
      </c>
      <c r="G585" s="6" t="s">
        <v>63</v>
      </c>
      <c r="H585" s="25">
        <v>1218435.67</v>
      </c>
      <c r="I585" s="6" t="s">
        <v>475</v>
      </c>
      <c r="J585" s="6" t="str">
        <f>'[1]V, inciso o) (OP)'!M277</f>
        <v>CLAUDIO FELIPE</v>
      </c>
      <c r="K585" s="6" t="str">
        <f>'[1]V, inciso o) (OP)'!N277</f>
        <v>TRUJILLO</v>
      </c>
      <c r="L585" s="6" t="str">
        <f>'[1]V, inciso o) (OP)'!O277</f>
        <v>GRACIAN</v>
      </c>
      <c r="M585" s="6" t="s">
        <v>1993</v>
      </c>
      <c r="N585" s="6" t="str">
        <f>'[1]V, inciso o) (OP)'!Q277</f>
        <v>DLU100818F46</v>
      </c>
      <c r="O585" s="11">
        <f t="shared" si="12"/>
        <v>1218435.67</v>
      </c>
      <c r="P585" s="11">
        <v>1218160.8400000001</v>
      </c>
      <c r="Q585" s="7" t="s">
        <v>1092</v>
      </c>
      <c r="R585" s="11">
        <f>H585/143</f>
        <v>8520.5291608391599</v>
      </c>
      <c r="S585" s="7" t="s">
        <v>41</v>
      </c>
      <c r="T585" s="12">
        <v>426</v>
      </c>
      <c r="U585" s="13" t="s">
        <v>42</v>
      </c>
      <c r="V585" s="7" t="s">
        <v>43</v>
      </c>
      <c r="W585" s="10">
        <f>'[1]V, inciso o) (OP)'!AD277</f>
        <v>43040</v>
      </c>
      <c r="X585" s="10">
        <f>'[1]V, inciso o) (OP)'!AE277</f>
        <v>43084</v>
      </c>
      <c r="Y585" s="7" t="s">
        <v>441</v>
      </c>
      <c r="Z585" s="7" t="s">
        <v>442</v>
      </c>
      <c r="AA585" s="7" t="s">
        <v>443</v>
      </c>
      <c r="AB585" s="21" t="s">
        <v>1575</v>
      </c>
      <c r="AC585" s="6" t="s">
        <v>2438</v>
      </c>
      <c r="AD585" s="6"/>
    </row>
    <row r="586" spans="1:30" ht="69.95" customHeight="1">
      <c r="A586" s="34">
        <v>324</v>
      </c>
      <c r="B586" s="7">
        <v>2017</v>
      </c>
      <c r="C586" s="7" t="s">
        <v>62</v>
      </c>
      <c r="D586" s="6" t="str">
        <f>'[1]V, inciso o) (OP)'!C278</f>
        <v>DOPI-MUN-RM-EP-AD-324-2017</v>
      </c>
      <c r="E586" s="10">
        <f>'[1]V, inciso o) (OP)'!V278</f>
        <v>43040</v>
      </c>
      <c r="F586" s="6" t="str">
        <f>'[1]V, inciso o) (OP)'!AA278</f>
        <v>Construcción de plazoleta, cruceros seguros, mobiliario y obra complementaria en el Andador Rizo Ayala, Municipio de Zapopan, Jalisco.</v>
      </c>
      <c r="G586" s="6" t="s">
        <v>63</v>
      </c>
      <c r="H586" s="25">
        <v>1710522.15</v>
      </c>
      <c r="I586" s="6" t="s">
        <v>475</v>
      </c>
      <c r="J586" s="6" t="str">
        <f>'[1]V, inciso o) (OP)'!M278</f>
        <v>ARTURO</v>
      </c>
      <c r="K586" s="6" t="str">
        <f>'[1]V, inciso o) (OP)'!N278</f>
        <v>RÁNGEL</v>
      </c>
      <c r="L586" s="6" t="str">
        <f>'[1]V, inciso o) (OP)'!O278</f>
        <v>PAEZ</v>
      </c>
      <c r="M586" s="6" t="s">
        <v>2016</v>
      </c>
      <c r="N586" s="6" t="str">
        <f>'[1]V, inciso o) (OP)'!Q278</f>
        <v>CLA890925ER5</v>
      </c>
      <c r="O586" s="11">
        <f t="shared" si="12"/>
        <v>1710522.15</v>
      </c>
      <c r="P586" s="11">
        <v>1425373.44</v>
      </c>
      <c r="Q586" s="7" t="s">
        <v>1093</v>
      </c>
      <c r="R586" s="11">
        <f>H586/2191</f>
        <v>780.70385668644451</v>
      </c>
      <c r="S586" s="7" t="s">
        <v>41</v>
      </c>
      <c r="T586" s="12">
        <v>1868</v>
      </c>
      <c r="U586" s="13" t="s">
        <v>42</v>
      </c>
      <c r="V586" s="43" t="s">
        <v>43</v>
      </c>
      <c r="W586" s="10">
        <f>'[1]V, inciso o) (OP)'!AD278</f>
        <v>43040</v>
      </c>
      <c r="X586" s="10">
        <f>'[1]V, inciso o) (OP)'!AE278</f>
        <v>43084</v>
      </c>
      <c r="Y586" s="7" t="s">
        <v>441</v>
      </c>
      <c r="Z586" s="7" t="s">
        <v>442</v>
      </c>
      <c r="AA586" s="7" t="s">
        <v>443</v>
      </c>
      <c r="AB586" s="21" t="s">
        <v>1576</v>
      </c>
      <c r="AC586" s="6" t="s">
        <v>2438</v>
      </c>
      <c r="AD586" s="6"/>
    </row>
    <row r="587" spans="1:30" ht="69.95" customHeight="1">
      <c r="A587" s="34">
        <v>325</v>
      </c>
      <c r="B587" s="7">
        <v>2017</v>
      </c>
      <c r="C587" s="7" t="s">
        <v>62</v>
      </c>
      <c r="D587" s="6" t="str">
        <f>'[1]V, inciso o) (OP)'!C279</f>
        <v>DOPI-MUN-RM-IU-AD-325-2017</v>
      </c>
      <c r="E587" s="10">
        <f>'[1]V, inciso o) (OP)'!V279</f>
        <v>43063</v>
      </c>
      <c r="F587" s="6" t="str">
        <f>'[1]V, inciso o) (OP)'!AA279</f>
        <v>Segunda etapa de la renovación de imagen urbana en la colonia Díaz Ordaz, municipio de Zapopan, Jalisco</v>
      </c>
      <c r="G587" s="6" t="s">
        <v>63</v>
      </c>
      <c r="H587" s="25">
        <v>1650458.56</v>
      </c>
      <c r="I587" s="6" t="s">
        <v>879</v>
      </c>
      <c r="J587" s="6" t="str">
        <f>'[1]V, inciso o) (OP)'!M279</f>
        <v>WILLIAMS PATRICKS</v>
      </c>
      <c r="K587" s="6" t="str">
        <f>'[1]V, inciso o) (OP)'!N279</f>
        <v>GIL</v>
      </c>
      <c r="L587" s="6" t="str">
        <f>'[1]V, inciso o) (OP)'!O279</f>
        <v>PÉREZ</v>
      </c>
      <c r="M587" s="6" t="s">
        <v>3229</v>
      </c>
      <c r="N587" s="6" t="str">
        <f>'[1]V, inciso o) (OP)'!Q279</f>
        <v>GWA141209KG7</v>
      </c>
      <c r="O587" s="11">
        <f t="shared" si="12"/>
        <v>1650458.56</v>
      </c>
      <c r="P587" s="11">
        <v>1650458.5099999998</v>
      </c>
      <c r="Q587" s="7" t="s">
        <v>1094</v>
      </c>
      <c r="R587" s="11">
        <f>H587/1052</f>
        <v>1568.876958174905</v>
      </c>
      <c r="S587" s="7" t="s">
        <v>41</v>
      </c>
      <c r="T587" s="12">
        <v>986</v>
      </c>
      <c r="U587" s="13" t="s">
        <v>42</v>
      </c>
      <c r="V587" s="43" t="s">
        <v>43</v>
      </c>
      <c r="W587" s="10">
        <f>'[1]V, inciso o) (OP)'!AD279</f>
        <v>43063</v>
      </c>
      <c r="X587" s="10">
        <f>'[1]V, inciso o) (OP)'!AE279</f>
        <v>43145</v>
      </c>
      <c r="Y587" s="7" t="s">
        <v>753</v>
      </c>
      <c r="Z587" s="7" t="s">
        <v>827</v>
      </c>
      <c r="AA587" s="7" t="s">
        <v>755</v>
      </c>
      <c r="AB587" s="21" t="s">
        <v>1577</v>
      </c>
      <c r="AC587" s="6" t="s">
        <v>2438</v>
      </c>
      <c r="AD587" s="6"/>
    </row>
    <row r="588" spans="1:30" ht="69.95" customHeight="1">
      <c r="A588" s="34">
        <v>326</v>
      </c>
      <c r="B588" s="7">
        <v>2017</v>
      </c>
      <c r="C588" s="7" t="s">
        <v>62</v>
      </c>
      <c r="D588" s="6" t="str">
        <f>'[1]V, inciso o) (OP)'!C280</f>
        <v>DOPI-MUN-RM-PAV-AD-326-2017</v>
      </c>
      <c r="E588" s="10">
        <f>'[1]V, inciso o) (OP)'!V280</f>
        <v>43031</v>
      </c>
      <c r="F588" s="6" t="str">
        <f>'[1]V, inciso o) (OP)'!AA280</f>
        <v>Renivelación con mezcla asfáltica de vialidades, en las colonias Girasoles Elite y Las Casitas, municipio de Zapopan, Jalisco.</v>
      </c>
      <c r="G588" s="6" t="s">
        <v>63</v>
      </c>
      <c r="H588" s="25">
        <v>1705874.36</v>
      </c>
      <c r="I588" s="6" t="s">
        <v>1095</v>
      </c>
      <c r="J588" s="6" t="str">
        <f>'[1]V, inciso o) (OP)'!M280</f>
        <v>ALEX</v>
      </c>
      <c r="K588" s="6" t="str">
        <f>'[1]V, inciso o) (OP)'!N280</f>
        <v>MEDINA</v>
      </c>
      <c r="L588" s="6" t="str">
        <f>'[1]V, inciso o) (OP)'!O280</f>
        <v>GÓMEZ</v>
      </c>
      <c r="M588" s="6" t="s">
        <v>3207</v>
      </c>
      <c r="N588" s="6" t="str">
        <f>'[1]V, inciso o) (OP)'!Q280</f>
        <v>MCO150527NY3</v>
      </c>
      <c r="O588" s="11">
        <f t="shared" si="12"/>
        <v>1705874.36</v>
      </c>
      <c r="P588" s="11">
        <v>1410164.5499999998</v>
      </c>
      <c r="Q588" s="7" t="s">
        <v>1096</v>
      </c>
      <c r="R588" s="11">
        <f>H588/4356</f>
        <v>391.61486685032139</v>
      </c>
      <c r="S588" s="7" t="s">
        <v>41</v>
      </c>
      <c r="T588" s="12">
        <v>695</v>
      </c>
      <c r="U588" s="13" t="s">
        <v>42</v>
      </c>
      <c r="V588" s="43" t="s">
        <v>43</v>
      </c>
      <c r="W588" s="10">
        <f>'[1]V, inciso o) (OP)'!AD280</f>
        <v>43031</v>
      </c>
      <c r="X588" s="10">
        <f>'[1]V, inciso o) (OP)'!AE280</f>
        <v>43100</v>
      </c>
      <c r="Y588" s="7" t="s">
        <v>431</v>
      </c>
      <c r="Z588" s="7" t="s">
        <v>181</v>
      </c>
      <c r="AA588" s="7" t="s">
        <v>89</v>
      </c>
      <c r="AB588" s="21" t="s">
        <v>2308</v>
      </c>
      <c r="AC588" s="6" t="s">
        <v>2438</v>
      </c>
      <c r="AD588" s="6"/>
    </row>
    <row r="589" spans="1:30" ht="69.95" customHeight="1">
      <c r="A589" s="34">
        <v>327</v>
      </c>
      <c r="B589" s="7">
        <v>2017</v>
      </c>
      <c r="C589" s="7" t="s">
        <v>62</v>
      </c>
      <c r="D589" s="6" t="str">
        <f>'[1]V, inciso o) (OP)'!C281</f>
        <v>DOPI-MUN-RM-IM-AD-327-2017</v>
      </c>
      <c r="E589" s="10">
        <f>'[1]V, inciso o) (OP)'!V281</f>
        <v>43046</v>
      </c>
      <c r="F589" s="6" t="str">
        <f>'[1]V, inciso o) (OP)'!AA281</f>
        <v>Rehabilitación del Centro Comunitario en la colonia el Colli CTM, Municipio de Zapopan, Jalisco.</v>
      </c>
      <c r="G589" s="6" t="s">
        <v>63</v>
      </c>
      <c r="H589" s="25">
        <v>1436854.75</v>
      </c>
      <c r="I589" s="6" t="s">
        <v>1097</v>
      </c>
      <c r="J589" s="6" t="str">
        <f>'[1]V, inciso o) (OP)'!M281</f>
        <v>ALFREDO</v>
      </c>
      <c r="K589" s="6" t="str">
        <f>'[1]V, inciso o) (OP)'!N281</f>
        <v>FLORES</v>
      </c>
      <c r="L589" s="6" t="str">
        <f>'[1]V, inciso o) (OP)'!O281</f>
        <v>CHÁVEZ</v>
      </c>
      <c r="M589" s="6" t="s">
        <v>3230</v>
      </c>
      <c r="N589" s="6" t="str">
        <f>'[1]V, inciso o) (OP)'!Q281</f>
        <v>FOCA830904HT8</v>
      </c>
      <c r="O589" s="11">
        <f t="shared" si="12"/>
        <v>1436854.75</v>
      </c>
      <c r="P589" s="11">
        <v>1436854.71</v>
      </c>
      <c r="Q589" s="7" t="s">
        <v>1098</v>
      </c>
      <c r="R589" s="11">
        <f>H589/2400</f>
        <v>598.68947916666662</v>
      </c>
      <c r="S589" s="7" t="s">
        <v>41</v>
      </c>
      <c r="T589" s="12">
        <v>5602</v>
      </c>
      <c r="U589" s="13" t="s">
        <v>42</v>
      </c>
      <c r="V589" s="7" t="s">
        <v>43</v>
      </c>
      <c r="W589" s="10">
        <f>'[1]V, inciso o) (OP)'!AD281</f>
        <v>43046</v>
      </c>
      <c r="X589" s="10">
        <f>'[1]V, inciso o) (OP)'!AE281</f>
        <v>43146</v>
      </c>
      <c r="Y589" s="7" t="s">
        <v>603</v>
      </c>
      <c r="Z589" s="7" t="s">
        <v>604</v>
      </c>
      <c r="AA589" s="7" t="s">
        <v>605</v>
      </c>
      <c r="AB589" s="21" t="s">
        <v>2754</v>
      </c>
      <c r="AC589" s="6" t="s">
        <v>2438</v>
      </c>
      <c r="AD589" s="6"/>
    </row>
    <row r="590" spans="1:30" ht="69.95" customHeight="1">
      <c r="A590" s="34">
        <v>328</v>
      </c>
      <c r="B590" s="7">
        <v>2017</v>
      </c>
      <c r="C590" s="7" t="s">
        <v>62</v>
      </c>
      <c r="D590" s="6" t="str">
        <f>'[1]V, inciso o) (OP)'!C282</f>
        <v>DOPI-MUN-RM-BAN-AD-328-2017</v>
      </c>
      <c r="E590" s="10">
        <f>'[1]V, inciso o) (OP)'!V282</f>
        <v>43024</v>
      </c>
      <c r="F590" s="6" t="str">
        <f>'[1]V, inciso o) (OP)'!AA282</f>
        <v>Peatonalización, construcción de banquetas sustitución de guarniciones, bolardos, accesibilidad, primera etapa en la Colonia Tabachines, Municipio de Zapopan, Jalisco.</v>
      </c>
      <c r="G590" s="6" t="s">
        <v>63</v>
      </c>
      <c r="H590" s="25">
        <v>1554169.12</v>
      </c>
      <c r="I590" s="6" t="s">
        <v>1099</v>
      </c>
      <c r="J590" s="6" t="str">
        <f>'[1]V, inciso o) (OP)'!M282</f>
        <v>ESTEBAN</v>
      </c>
      <c r="K590" s="6" t="str">
        <f>'[1]V, inciso o) (OP)'!N282</f>
        <v>PÉREZ</v>
      </c>
      <c r="L590" s="6" t="str">
        <f>'[1]V, inciso o) (OP)'!O282</f>
        <v>MUÑOZ</v>
      </c>
      <c r="M590" s="6" t="s">
        <v>3067</v>
      </c>
      <c r="N590" s="6" t="str">
        <f>'[1]V, inciso o) (OP)'!Q282</f>
        <v>GPC110927671</v>
      </c>
      <c r="O590" s="11">
        <f t="shared" si="12"/>
        <v>1554169.12</v>
      </c>
      <c r="P590" s="11">
        <v>1554169.09</v>
      </c>
      <c r="Q590" s="7" t="s">
        <v>1100</v>
      </c>
      <c r="R590" s="11">
        <f>H590/2300</f>
        <v>675.72570434782608</v>
      </c>
      <c r="S590" s="7" t="s">
        <v>41</v>
      </c>
      <c r="T590" s="12">
        <v>1163</v>
      </c>
      <c r="U590" s="13" t="s">
        <v>42</v>
      </c>
      <c r="V590" s="43" t="s">
        <v>43</v>
      </c>
      <c r="W590" s="10">
        <f>'[1]V, inciso o) (OP)'!AD282</f>
        <v>43024</v>
      </c>
      <c r="X590" s="10">
        <f>'[1]V, inciso o) (OP)'!AE282</f>
        <v>43084</v>
      </c>
      <c r="Y590" s="7" t="s">
        <v>360</v>
      </c>
      <c r="Z590" s="7" t="s">
        <v>361</v>
      </c>
      <c r="AA590" s="7" t="s">
        <v>362</v>
      </c>
      <c r="AB590" s="21" t="s">
        <v>2755</v>
      </c>
      <c r="AC590" s="6" t="s">
        <v>2438</v>
      </c>
      <c r="AD590" s="6"/>
    </row>
    <row r="591" spans="1:30" ht="69.95" customHeight="1">
      <c r="A591" s="34">
        <v>329</v>
      </c>
      <c r="B591" s="7">
        <v>2017</v>
      </c>
      <c r="C591" s="7" t="s">
        <v>62</v>
      </c>
      <c r="D591" s="6" t="str">
        <f>'[1]V, inciso o) (OP)'!C283</f>
        <v>DOPI-MUN-RM-IM-AD-329-2017</v>
      </c>
      <c r="E591" s="10">
        <f>'[1]V, inciso o) (OP)'!V283</f>
        <v>43042</v>
      </c>
      <c r="F591" s="6" t="str">
        <f>'[1]V, inciso o) (OP)'!AA283</f>
        <v>Rehabilitación y equipamiento del sistema de trampas de grasa, albañilería y acabados, en el área de carnicerías del mercado municipal Atemajac, municipio de Zapopan, Jalisco.</v>
      </c>
      <c r="G591" s="6" t="s">
        <v>63</v>
      </c>
      <c r="H591" s="25">
        <v>1664300.46</v>
      </c>
      <c r="I591" s="6" t="s">
        <v>1101</v>
      </c>
      <c r="J591" s="6" t="str">
        <f>'[1]V, inciso o) (OP)'!M283</f>
        <v>ERICK</v>
      </c>
      <c r="K591" s="6" t="str">
        <f>'[1]V, inciso o) (OP)'!N283</f>
        <v>VILLASEÑOR</v>
      </c>
      <c r="L591" s="6" t="str">
        <f>'[1]V, inciso o) (OP)'!O283</f>
        <v>GUTIÉRREZ</v>
      </c>
      <c r="M591" s="6" t="s">
        <v>1843</v>
      </c>
      <c r="N591" s="6" t="str">
        <f>'[1]V, inciso o) (OP)'!Q283</f>
        <v>PCO140829425</v>
      </c>
      <c r="O591" s="11">
        <f t="shared" si="12"/>
        <v>1664300.46</v>
      </c>
      <c r="P591" s="11">
        <v>1227870.1399999999</v>
      </c>
      <c r="Q591" s="7" t="s">
        <v>1102</v>
      </c>
      <c r="R591" s="11">
        <f>H591/540</f>
        <v>3082.037888888889</v>
      </c>
      <c r="S591" s="7" t="s">
        <v>41</v>
      </c>
      <c r="T591" s="12">
        <v>124022</v>
      </c>
      <c r="U591" s="13" t="s">
        <v>42</v>
      </c>
      <c r="V591" s="7" t="s">
        <v>43</v>
      </c>
      <c r="W591" s="10">
        <f>'[1]V, inciso o) (OP)'!AD283</f>
        <v>43042</v>
      </c>
      <c r="X591" s="10">
        <f>'[1]V, inciso o) (OP)'!AE283</f>
        <v>43084</v>
      </c>
      <c r="Y591" s="7" t="s">
        <v>394</v>
      </c>
      <c r="Z591" s="7" t="s">
        <v>279</v>
      </c>
      <c r="AA591" s="7" t="s">
        <v>78</v>
      </c>
      <c r="AB591" s="21" t="s">
        <v>1578</v>
      </c>
      <c r="AC591" s="6" t="s">
        <v>2438</v>
      </c>
      <c r="AD591" s="6"/>
    </row>
    <row r="592" spans="1:30" ht="69.95" customHeight="1">
      <c r="A592" s="34">
        <v>330</v>
      </c>
      <c r="B592" s="7">
        <v>2017</v>
      </c>
      <c r="C592" s="7" t="s">
        <v>62</v>
      </c>
      <c r="D592" s="6" t="str">
        <f>'[1]V, inciso o) (OP)'!C284</f>
        <v>DOPI-MUN-RM-PROY-AD-330-2017</v>
      </c>
      <c r="E592" s="10">
        <f>'[1]V, inciso o) (OP)'!V284</f>
        <v>43031</v>
      </c>
      <c r="F592" s="6" t="str">
        <f>'[1]V, inciso o) (OP)'!AA284</f>
        <v>Diagnóstico, diseño y proyectos hidráulicos 2017, frente 1, de diferentes redes de agua potable y alcantarillado, municipio de Zapopan Jalisco.</v>
      </c>
      <c r="G592" s="6" t="s">
        <v>63</v>
      </c>
      <c r="H592" s="25">
        <v>976825.88</v>
      </c>
      <c r="I592" s="6" t="s">
        <v>1317</v>
      </c>
      <c r="J592" s="6" t="str">
        <f>'[1]V, inciso o) (OP)'!M284</f>
        <v>JAVIER</v>
      </c>
      <c r="K592" s="6" t="str">
        <f>'[1]V, inciso o) (OP)'!N284</f>
        <v xml:space="preserve">ÁVILA </v>
      </c>
      <c r="L592" s="6" t="str">
        <f>'[1]V, inciso o) (OP)'!O284</f>
        <v>FLORES</v>
      </c>
      <c r="M592" s="6" t="s">
        <v>2100</v>
      </c>
      <c r="N592" s="6" t="str">
        <f>'[1]V, inciso o) (OP)'!Q284</f>
        <v>SCC060622HZ3</v>
      </c>
      <c r="O592" s="11">
        <f t="shared" si="12"/>
        <v>976825.88</v>
      </c>
      <c r="P592" s="11">
        <v>976816.03</v>
      </c>
      <c r="Q592" s="7" t="s">
        <v>1103</v>
      </c>
      <c r="R592" s="11">
        <f>H592/25</f>
        <v>39073.035199999998</v>
      </c>
      <c r="S592" s="7" t="s">
        <v>121</v>
      </c>
      <c r="T592" s="12" t="s">
        <v>121</v>
      </c>
      <c r="U592" s="13" t="s">
        <v>42</v>
      </c>
      <c r="V592" s="43" t="s">
        <v>43</v>
      </c>
      <c r="W592" s="10">
        <f>'[1]V, inciso o) (OP)'!AD284</f>
        <v>43031</v>
      </c>
      <c r="X592" s="10">
        <f>'[1]V, inciso o) (OP)'!AE284</f>
        <v>43131</v>
      </c>
      <c r="Y592" s="7" t="s">
        <v>680</v>
      </c>
      <c r="Z592" s="7" t="s">
        <v>681</v>
      </c>
      <c r="AA592" s="7" t="s">
        <v>132</v>
      </c>
      <c r="AB592" s="21" t="s">
        <v>2887</v>
      </c>
      <c r="AC592" s="6" t="s">
        <v>2438</v>
      </c>
      <c r="AD592" s="6"/>
    </row>
    <row r="593" spans="1:30" ht="69.95" customHeight="1">
      <c r="A593" s="34">
        <v>332</v>
      </c>
      <c r="B593" s="7">
        <v>2017</v>
      </c>
      <c r="C593" s="7" t="s">
        <v>62</v>
      </c>
      <c r="D593" s="6" t="str">
        <f>'[1]V, inciso o) (OP)'!C285</f>
        <v>DOPI-MUN-CUSMAX-PROY-AD-332-2017</v>
      </c>
      <c r="E593" s="10">
        <f>'[1]V, inciso o) (OP)'!V285</f>
        <v>43060</v>
      </c>
      <c r="F593" s="6" t="str">
        <f>'[1]V, inciso o) (OP)'!AA285</f>
        <v>Elaboración de proyecto ejecutivo para la construcción de Estación de Bomberos en Circuito Andares, municipio de Zapopan, Jalisco.</v>
      </c>
      <c r="G593" s="6" t="s">
        <v>3332</v>
      </c>
      <c r="H593" s="25">
        <v>996458.25</v>
      </c>
      <c r="I593" s="6" t="s">
        <v>1049</v>
      </c>
      <c r="J593" s="6" t="str">
        <f>'[1]V, inciso o) (OP)'!M285</f>
        <v>CARLOS ALBERTO</v>
      </c>
      <c r="K593" s="6" t="str">
        <f>'[1]V, inciso o) (OP)'!N285</f>
        <v>VILLASEÑOR</v>
      </c>
      <c r="L593" s="6" t="str">
        <f>'[1]V, inciso o) (OP)'!O285</f>
        <v>NÚÑEZ</v>
      </c>
      <c r="M593" s="6" t="s">
        <v>3216</v>
      </c>
      <c r="N593" s="6" t="str">
        <f>'[1]V, inciso o) (OP)'!Q285</f>
        <v>MME011214IV5</v>
      </c>
      <c r="O593" s="11">
        <f t="shared" si="12"/>
        <v>996458.25</v>
      </c>
      <c r="P593" s="11">
        <v>996458.24</v>
      </c>
      <c r="Q593" s="7" t="s">
        <v>701</v>
      </c>
      <c r="R593" s="11">
        <f>H593</f>
        <v>996458.25</v>
      </c>
      <c r="S593" s="7" t="s">
        <v>121</v>
      </c>
      <c r="T593" s="12" t="s">
        <v>121</v>
      </c>
      <c r="U593" s="13" t="s">
        <v>42</v>
      </c>
      <c r="V593" s="43" t="s">
        <v>43</v>
      </c>
      <c r="W593" s="10">
        <f>'[1]V, inciso o) (OP)'!AD285</f>
        <v>43060</v>
      </c>
      <c r="X593" s="10">
        <f>'[1]V, inciso o) (OP)'!AE285</f>
        <v>43146</v>
      </c>
      <c r="Y593" s="7" t="s">
        <v>680</v>
      </c>
      <c r="Z593" s="7" t="s">
        <v>681</v>
      </c>
      <c r="AA593" s="7" t="s">
        <v>132</v>
      </c>
      <c r="AB593" s="21" t="s">
        <v>1579</v>
      </c>
      <c r="AC593" s="6" t="s">
        <v>2438</v>
      </c>
      <c r="AD593" s="6"/>
    </row>
    <row r="594" spans="1:30" ht="69.95" customHeight="1">
      <c r="A594" s="34">
        <v>334</v>
      </c>
      <c r="B594" s="7">
        <v>2017</v>
      </c>
      <c r="C594" s="7" t="s">
        <v>62</v>
      </c>
      <c r="D594" s="6" t="str">
        <f>'[1]V, inciso o) (OP)'!C286</f>
        <v>DOPI-MUN-CUSMAX-IM-AD-334-2017</v>
      </c>
      <c r="E594" s="10">
        <f>'[1]V, inciso o) (OP)'!V286</f>
        <v>43049</v>
      </c>
      <c r="F594" s="6" t="str">
        <f>'[1]V, inciso o) (OP)'!AA286</f>
        <v>Rehabilitación de la Barda en la Unidad Deportiva Lagos del Country, ubicada sobre la calle Laguna de Términos, colonia Lagos del Country, municipio de Zapopan, Jalisco.</v>
      </c>
      <c r="G594" s="6" t="s">
        <v>3332</v>
      </c>
      <c r="H594" s="25">
        <v>485258.58</v>
      </c>
      <c r="I594" s="6" t="s">
        <v>1104</v>
      </c>
      <c r="J594" s="6" t="str">
        <f>'[1]V, inciso o) (OP)'!M286</f>
        <v>JUAN ALFONSO</v>
      </c>
      <c r="K594" s="6" t="str">
        <f>'[1]V, inciso o) (OP)'!N286</f>
        <v>BELLON</v>
      </c>
      <c r="L594" s="6" t="str">
        <f>'[1]V, inciso o) (OP)'!O286</f>
        <v>CÁRDENAS</v>
      </c>
      <c r="M594" s="6" t="s">
        <v>3231</v>
      </c>
      <c r="N594" s="6" t="str">
        <f>'[1]V, inciso o) (OP)'!Q286</f>
        <v>PYC130626TA7</v>
      </c>
      <c r="O594" s="11">
        <f t="shared" si="12"/>
        <v>485258.58</v>
      </c>
      <c r="P594" s="11">
        <v>485258.49</v>
      </c>
      <c r="Q594" s="7" t="s">
        <v>1105</v>
      </c>
      <c r="R594" s="11">
        <f>H594/724</f>
        <v>670.2466574585635</v>
      </c>
      <c r="S594" s="7" t="s">
        <v>41</v>
      </c>
      <c r="T594" s="12">
        <v>6058</v>
      </c>
      <c r="U594" s="13" t="s">
        <v>42</v>
      </c>
      <c r="V594" s="7" t="s">
        <v>43</v>
      </c>
      <c r="W594" s="10">
        <f>'[1]V, inciso o) (OP)'!AD286</f>
        <v>43049</v>
      </c>
      <c r="X594" s="10">
        <f>'[1]V, inciso o) (OP)'!AE286</f>
        <v>43130</v>
      </c>
      <c r="Y594" s="7" t="s">
        <v>815</v>
      </c>
      <c r="Z594" s="7" t="s">
        <v>816</v>
      </c>
      <c r="AA594" s="7" t="s">
        <v>130</v>
      </c>
      <c r="AB594" s="21" t="s">
        <v>1580</v>
      </c>
      <c r="AC594" s="6" t="s">
        <v>2438</v>
      </c>
      <c r="AD594" s="6"/>
    </row>
    <row r="595" spans="1:30" ht="69.95" customHeight="1">
      <c r="A595" s="34">
        <v>335</v>
      </c>
      <c r="B595" s="7">
        <v>2017</v>
      </c>
      <c r="C595" s="7" t="s">
        <v>62</v>
      </c>
      <c r="D595" s="6" t="str">
        <f>'[1]V, inciso o) (OP)'!C287</f>
        <v>DOPI-MUN-CUSMAX-IH-AD-335-2017</v>
      </c>
      <c r="E595" s="10">
        <f>'[1]V, inciso o) (OP)'!V287</f>
        <v>43063</v>
      </c>
      <c r="F595" s="6" t="str">
        <f>'[1]V, inciso o) (OP)'!AA287</f>
        <v>Construcción de bocas de tormenta, modificación de rasantes en crucero y construcción de pozos de absorción en la privada Manuel M. Diéguez en su cruce con la calle Dr. Alberto Román, municipio de Zapopan, Jalisco.</v>
      </c>
      <c r="G595" s="6" t="s">
        <v>3332</v>
      </c>
      <c r="H595" s="25">
        <v>997254.59</v>
      </c>
      <c r="I595" s="6" t="s">
        <v>1106</v>
      </c>
      <c r="J595" s="6" t="str">
        <f>'[1]V, inciso o) (OP)'!M287</f>
        <v>HÉCTOR ANDRÉS</v>
      </c>
      <c r="K595" s="6" t="str">
        <f>'[1]V, inciso o) (OP)'!N287</f>
        <v>VALADES</v>
      </c>
      <c r="L595" s="6" t="str">
        <f>'[1]V, inciso o) (OP)'!O287</f>
        <v>SÁNCHEZ</v>
      </c>
      <c r="M595" s="6" t="s">
        <v>3141</v>
      </c>
      <c r="N595" s="6" t="str">
        <f>'[1]V, inciso o) (OP)'!Q287</f>
        <v>CON130531FB8</v>
      </c>
      <c r="O595" s="11">
        <f t="shared" si="12"/>
        <v>997254.59</v>
      </c>
      <c r="P595" s="11">
        <v>993305.07000000007</v>
      </c>
      <c r="Q595" s="7" t="s">
        <v>1107</v>
      </c>
      <c r="R595" s="11">
        <f>H595/328</f>
        <v>3040.4103353658534</v>
      </c>
      <c r="S595" s="7" t="s">
        <v>41</v>
      </c>
      <c r="T595" s="12">
        <v>489</v>
      </c>
      <c r="U595" s="13" t="s">
        <v>42</v>
      </c>
      <c r="V595" s="43" t="s">
        <v>43</v>
      </c>
      <c r="W595" s="10">
        <f>'[1]V, inciso o) (OP)'!AD287</f>
        <v>43063</v>
      </c>
      <c r="X595" s="10">
        <f>'[1]V, inciso o) (OP)'!AE287</f>
        <v>43131</v>
      </c>
      <c r="Y595" s="7" t="s">
        <v>780</v>
      </c>
      <c r="Z595" s="7" t="s">
        <v>818</v>
      </c>
      <c r="AA595" s="7" t="s">
        <v>186</v>
      </c>
      <c r="AB595" s="21" t="s">
        <v>1581</v>
      </c>
      <c r="AC595" s="6" t="s">
        <v>2438</v>
      </c>
      <c r="AD595" s="6"/>
    </row>
    <row r="596" spans="1:30" ht="69.95" customHeight="1">
      <c r="A596" s="34">
        <v>336</v>
      </c>
      <c r="B596" s="7">
        <v>2017</v>
      </c>
      <c r="C596" s="7" t="s">
        <v>62</v>
      </c>
      <c r="D596" s="6" t="str">
        <f>'[1]V, inciso o) (OP)'!C288</f>
        <v>DOPI-MUN-RM-PAV-AD-336-2017</v>
      </c>
      <c r="E596" s="10">
        <f>'[1]V, inciso o) (OP)'!V288</f>
        <v>43042</v>
      </c>
      <c r="F596" s="6" t="str">
        <f>'[1]V, inciso o) (OP)'!AA288</f>
        <v>Pavimentación con adoquín y empedrado tradicional con material producto de recuperación en diferentes vialidades en el municipio de Zapopan, Jalisco, frente 3.</v>
      </c>
      <c r="G596" s="6" t="s">
        <v>63</v>
      </c>
      <c r="H596" s="25">
        <v>1680442.12</v>
      </c>
      <c r="I596" s="6" t="s">
        <v>1317</v>
      </c>
      <c r="J596" s="6" t="str">
        <f>'[1]V, inciso o) (OP)'!M288</f>
        <v>JOSÉ OMAR</v>
      </c>
      <c r="K596" s="6" t="str">
        <f>'[1]V, inciso o) (OP)'!N288</f>
        <v>FERNÁNDEZ</v>
      </c>
      <c r="L596" s="6" t="str">
        <f>'[1]V, inciso o) (OP)'!O288</f>
        <v>VÁZQUEZ</v>
      </c>
      <c r="M596" s="6" t="s">
        <v>3205</v>
      </c>
      <c r="N596" s="6" t="str">
        <f>'[1]V, inciso o) (OP)'!Q288</f>
        <v>FEVO740619686</v>
      </c>
      <c r="O596" s="11">
        <f t="shared" si="12"/>
        <v>1680442.12</v>
      </c>
      <c r="P596" s="11">
        <v>1651296.3399999999</v>
      </c>
      <c r="Q596" s="7" t="s">
        <v>1108</v>
      </c>
      <c r="R596" s="11">
        <f>H596/1750</f>
        <v>960.25264000000004</v>
      </c>
      <c r="S596" s="7" t="s">
        <v>41</v>
      </c>
      <c r="T596" s="12">
        <v>396</v>
      </c>
      <c r="U596" s="13" t="s">
        <v>42</v>
      </c>
      <c r="V596" s="43" t="s">
        <v>43</v>
      </c>
      <c r="W596" s="10">
        <f>'[1]V, inciso o) (OP)'!AD288</f>
        <v>43042</v>
      </c>
      <c r="X596" s="10">
        <f>'[1]V, inciso o) (OP)'!AE288</f>
        <v>43131</v>
      </c>
      <c r="Y596" s="7" t="s">
        <v>431</v>
      </c>
      <c r="Z596" s="7" t="s">
        <v>181</v>
      </c>
      <c r="AA596" s="7" t="s">
        <v>89</v>
      </c>
      <c r="AB596" s="21" t="s">
        <v>2309</v>
      </c>
      <c r="AC596" s="6" t="s">
        <v>2438</v>
      </c>
      <c r="AD596" s="6"/>
    </row>
    <row r="597" spans="1:30" ht="69.95" customHeight="1">
      <c r="A597" s="34">
        <v>337</v>
      </c>
      <c r="B597" s="7">
        <v>2017</v>
      </c>
      <c r="C597" s="7" t="s">
        <v>62</v>
      </c>
      <c r="D597" s="6" t="str">
        <f>'[1]V, inciso o) (OP)'!C289</f>
        <v>DOPI-MUN-CUSMAX-PROY-AD-337-2017</v>
      </c>
      <c r="E597" s="10">
        <f>'[1]V, inciso o) (OP)'!V289</f>
        <v>43018</v>
      </c>
      <c r="F597" s="6" t="str">
        <f>'[1]V, inciso o) (OP)'!AA289</f>
        <v>Elaboración de proyecto geométrico ejecutivo de cruceros seguros en el corredor de la Av. Patria -  Av. Acueducto, municipio de Zapopan, Jalisco</v>
      </c>
      <c r="G597" s="6" t="s">
        <v>3332</v>
      </c>
      <c r="H597" s="25">
        <v>491840</v>
      </c>
      <c r="I597" s="6" t="s">
        <v>1049</v>
      </c>
      <c r="J597" s="6" t="str">
        <f>'[1]V, inciso o) (OP)'!M289</f>
        <v>SERGIO ALEJANDRO</v>
      </c>
      <c r="K597" s="6" t="str">
        <f>'[1]V, inciso o) (OP)'!N289</f>
        <v>LARIOS</v>
      </c>
      <c r="L597" s="6" t="str">
        <f>'[1]V, inciso o) (OP)'!O289</f>
        <v>VIRGEN</v>
      </c>
      <c r="M597" s="6" t="s">
        <v>3232</v>
      </c>
      <c r="N597" s="6" t="str">
        <f>'[1]V, inciso o) (OP)'!Q289</f>
        <v>EPS040708MA2</v>
      </c>
      <c r="O597" s="11">
        <f t="shared" si="12"/>
        <v>491840</v>
      </c>
      <c r="P597" s="11">
        <v>491840</v>
      </c>
      <c r="Q597" s="7" t="s">
        <v>1109</v>
      </c>
      <c r="R597" s="11">
        <f>H597/4</f>
        <v>122960</v>
      </c>
      <c r="S597" s="7" t="s">
        <v>121</v>
      </c>
      <c r="T597" s="12" t="s">
        <v>121</v>
      </c>
      <c r="U597" s="13" t="s">
        <v>42</v>
      </c>
      <c r="V597" s="43" t="s">
        <v>43</v>
      </c>
      <c r="W597" s="10">
        <f>'[1]V, inciso o) (OP)'!AD289</f>
        <v>43018</v>
      </c>
      <c r="X597" s="10">
        <f>'[1]V, inciso o) (OP)'!AE289</f>
        <v>43100</v>
      </c>
      <c r="Y597" s="7" t="s">
        <v>680</v>
      </c>
      <c r="Z597" s="7" t="s">
        <v>681</v>
      </c>
      <c r="AA597" s="7" t="s">
        <v>132</v>
      </c>
      <c r="AB597" s="21" t="s">
        <v>3289</v>
      </c>
      <c r="AC597" s="6" t="s">
        <v>2438</v>
      </c>
      <c r="AD597" s="6"/>
    </row>
    <row r="598" spans="1:30" ht="69.95" customHeight="1">
      <c r="A598" s="34">
        <v>338</v>
      </c>
      <c r="B598" s="7">
        <v>2017</v>
      </c>
      <c r="C598" s="7" t="s">
        <v>62</v>
      </c>
      <c r="D598" s="6" t="str">
        <f>'[1]V, inciso o) (OP)'!C290</f>
        <v>DOPI-MUN-CUSMAX-PROY-AD-338-2017</v>
      </c>
      <c r="E598" s="10">
        <f>'[1]V, inciso o) (OP)'!V290</f>
        <v>43066</v>
      </c>
      <c r="F598" s="6" t="str">
        <f>'[1]V, inciso o) (OP)'!AA290</f>
        <v>Elaboración de proyecto ejecutivo para iluminación del parque lineal Patria, en el tramo de Av. Acueducto a Av. Américas, municipio de Zapopan, Jalisco.</v>
      </c>
      <c r="G598" s="6" t="s">
        <v>3332</v>
      </c>
      <c r="H598" s="25">
        <v>95898.49</v>
      </c>
      <c r="I598" s="6" t="s">
        <v>1049</v>
      </c>
      <c r="J598" s="6" t="str">
        <f>'[1]V, inciso o) (OP)'!M290</f>
        <v xml:space="preserve">CARLOS ISRAEL </v>
      </c>
      <c r="K598" s="6" t="str">
        <f>'[1]V, inciso o) (OP)'!N290</f>
        <v>JAUREGUI</v>
      </c>
      <c r="L598" s="6" t="str">
        <f>'[1]V, inciso o) (OP)'!O290</f>
        <v xml:space="preserve"> GOMEZ</v>
      </c>
      <c r="M598" s="6" t="s">
        <v>3233</v>
      </c>
      <c r="N598" s="6" t="str">
        <f>'[1]V, inciso o) (OP)'!Q290</f>
        <v>CAR041213BM6</v>
      </c>
      <c r="O598" s="11">
        <f t="shared" si="12"/>
        <v>95898.49</v>
      </c>
      <c r="P598" s="11">
        <f t="shared" ref="P598" si="15">O598</f>
        <v>95898.49</v>
      </c>
      <c r="Q598" s="7" t="s">
        <v>701</v>
      </c>
      <c r="R598" s="11">
        <f>H598</f>
        <v>95898.49</v>
      </c>
      <c r="S598" s="7" t="s">
        <v>121</v>
      </c>
      <c r="T598" s="12" t="s">
        <v>121</v>
      </c>
      <c r="U598" s="13" t="s">
        <v>42</v>
      </c>
      <c r="V598" s="7" t="s">
        <v>373</v>
      </c>
      <c r="W598" s="10">
        <f>'[1]V, inciso o) (OP)'!AD290</f>
        <v>43066</v>
      </c>
      <c r="X598" s="10">
        <f>'[1]V, inciso o) (OP)'!AE290</f>
        <v>43131</v>
      </c>
      <c r="Y598" s="7" t="s">
        <v>680</v>
      </c>
      <c r="Z598" s="7" t="s">
        <v>681</v>
      </c>
      <c r="AA598" s="7" t="s">
        <v>132</v>
      </c>
      <c r="AB598" s="21" t="s">
        <v>1582</v>
      </c>
      <c r="AC598" s="6" t="s">
        <v>2438</v>
      </c>
      <c r="AD598" s="6"/>
    </row>
    <row r="599" spans="1:30" ht="69.95" customHeight="1">
      <c r="A599" s="34">
        <v>339</v>
      </c>
      <c r="B599" s="7">
        <v>2017</v>
      </c>
      <c r="C599" s="7" t="s">
        <v>62</v>
      </c>
      <c r="D599" s="6" t="str">
        <f>'[1]V, inciso o) (OP)'!C291</f>
        <v>DOPI-MUN-CUSMAX-PROY-AD-339-2017</v>
      </c>
      <c r="E599" s="10">
        <f>'[1]V, inciso o) (OP)'!V291</f>
        <v>43084</v>
      </c>
      <c r="F599" s="6" t="str">
        <f>'[1]V, inciso o) (OP)'!AA291</f>
        <v>Elaboración de proyecto ejecutivo hidráulico del parque lineal Patria, municipio de Zapopan, Jalisco.</v>
      </c>
      <c r="G599" s="6" t="s">
        <v>3332</v>
      </c>
      <c r="H599" s="25">
        <v>248650.88</v>
      </c>
      <c r="I599" s="6" t="s">
        <v>1049</v>
      </c>
      <c r="J599" s="6" t="str">
        <f>'[1]V, inciso o) (OP)'!M291</f>
        <v>FRANCISCA ELVIA</v>
      </c>
      <c r="K599" s="6" t="str">
        <f>'[1]V, inciso o) (OP)'!N291</f>
        <v>RUBIO</v>
      </c>
      <c r="L599" s="6" t="str">
        <f>'[1]V, inciso o) (OP)'!O291</f>
        <v>MONTES</v>
      </c>
      <c r="M599" s="6" t="s">
        <v>3234</v>
      </c>
      <c r="N599" s="6" t="str">
        <f>'[1]V, inciso o) (OP)'!Q291</f>
        <v>IHS9809171R9</v>
      </c>
      <c r="O599" s="11">
        <f t="shared" si="12"/>
        <v>248650.88</v>
      </c>
      <c r="P599" s="11">
        <v>248650.88</v>
      </c>
      <c r="Q599" s="7" t="s">
        <v>701</v>
      </c>
      <c r="R599" s="11">
        <f>H599</f>
        <v>248650.88</v>
      </c>
      <c r="S599" s="7" t="s">
        <v>121</v>
      </c>
      <c r="T599" s="12" t="s">
        <v>121</v>
      </c>
      <c r="U599" s="13" t="s">
        <v>42</v>
      </c>
      <c r="V599" s="43" t="s">
        <v>43</v>
      </c>
      <c r="W599" s="10">
        <f>'[1]V, inciso o) (OP)'!AD291</f>
        <v>43084</v>
      </c>
      <c r="X599" s="10">
        <f>'[1]V, inciso o) (OP)'!AE291</f>
        <v>43131</v>
      </c>
      <c r="Y599" s="7" t="s">
        <v>680</v>
      </c>
      <c r="Z599" s="7" t="s">
        <v>681</v>
      </c>
      <c r="AA599" s="7" t="s">
        <v>132</v>
      </c>
      <c r="AB599" s="21" t="s">
        <v>1583</v>
      </c>
      <c r="AC599" s="6" t="s">
        <v>2438</v>
      </c>
      <c r="AD599" s="6"/>
    </row>
    <row r="600" spans="1:30" ht="69.95" customHeight="1">
      <c r="A600" s="34">
        <v>340</v>
      </c>
      <c r="B600" s="7">
        <v>2017</v>
      </c>
      <c r="C600" s="7" t="s">
        <v>62</v>
      </c>
      <c r="D600" s="6" t="str">
        <f>'[1]V, inciso o) (OP)'!C292</f>
        <v>DOPI-MUN-RM-IE-AD-340-2017</v>
      </c>
      <c r="E600" s="10">
        <f>'[1]V, inciso o) (OP)'!V292</f>
        <v>43084</v>
      </c>
      <c r="F600" s="6" t="str">
        <f>'[1]V, inciso o) (OP)'!AA292</f>
        <v>Estructuras con lonaria, carpintería, acabados, y cancelería, en el CDI del DIF No. 8 María Jaime Franco, ubicado en Santa Ana Tepetitlán, municipio de Zapopan, Jalisco.</v>
      </c>
      <c r="G600" s="6" t="s">
        <v>63</v>
      </c>
      <c r="H600" s="25">
        <v>1667345.57</v>
      </c>
      <c r="I600" s="6" t="s">
        <v>276</v>
      </c>
      <c r="J600" s="6" t="str">
        <f>'[1]V, inciso o) (OP)'!M292</f>
        <v>WILLIAMS PATRICKS</v>
      </c>
      <c r="K600" s="6" t="str">
        <f>'[1]V, inciso o) (OP)'!N292</f>
        <v>GIL</v>
      </c>
      <c r="L600" s="6" t="str">
        <f>'[1]V, inciso o) (OP)'!O292</f>
        <v>PÉREZ</v>
      </c>
      <c r="M600" s="6" t="s">
        <v>3229</v>
      </c>
      <c r="N600" s="6" t="str">
        <f>'[1]V, inciso o) (OP)'!Q292</f>
        <v>GWA141209KG7</v>
      </c>
      <c r="O600" s="11">
        <f t="shared" si="12"/>
        <v>1667345.57</v>
      </c>
      <c r="P600" s="11">
        <v>1667345.57</v>
      </c>
      <c r="Q600" s="7" t="s">
        <v>1110</v>
      </c>
      <c r="R600" s="11">
        <f>H600/368</f>
        <v>4530.8303532608697</v>
      </c>
      <c r="S600" s="7" t="s">
        <v>41</v>
      </c>
      <c r="T600" s="12">
        <v>128961</v>
      </c>
      <c r="U600" s="13" t="s">
        <v>42</v>
      </c>
      <c r="V600" s="43" t="s">
        <v>43</v>
      </c>
      <c r="W600" s="10">
        <f>'[1]V, inciso o) (OP)'!AD292</f>
        <v>43084</v>
      </c>
      <c r="X600" s="10">
        <f>'[1]V, inciso o) (OP)'!AE292</f>
        <v>43131</v>
      </c>
      <c r="Y600" s="7" t="s">
        <v>599</v>
      </c>
      <c r="Z600" s="7" t="s">
        <v>307</v>
      </c>
      <c r="AA600" s="7" t="s">
        <v>61</v>
      </c>
      <c r="AB600" s="21" t="s">
        <v>2310</v>
      </c>
      <c r="AC600" s="6" t="s">
        <v>2438</v>
      </c>
      <c r="AD600" s="6"/>
    </row>
    <row r="601" spans="1:30" ht="69.95" customHeight="1">
      <c r="A601" s="34">
        <v>341</v>
      </c>
      <c r="B601" s="7">
        <v>2017</v>
      </c>
      <c r="C601" s="7" t="s">
        <v>62</v>
      </c>
      <c r="D601" s="6" t="str">
        <f>'[1]V, inciso o) (OP)'!C293</f>
        <v>DOPI-MUN-R33-DS-AD-341-2017</v>
      </c>
      <c r="E601" s="10">
        <f>'[1]V, inciso o) (OP)'!V293</f>
        <v>43045</v>
      </c>
      <c r="F601" s="6" t="str">
        <f>'[1]V, inciso o) (OP)'!AA293</f>
        <v>Construcción de colector de alejamiento en la localidad de Pedregal de Milpillas, municipio de Zapopan, Jalisco, Frente 1.</v>
      </c>
      <c r="G601" s="6" t="s">
        <v>3326</v>
      </c>
      <c r="H601" s="25">
        <v>1620156.15</v>
      </c>
      <c r="I601" s="6" t="s">
        <v>1111</v>
      </c>
      <c r="J601" s="6" t="str">
        <f>'[1]V, inciso o) (OP)'!M293</f>
        <v>MAXIMILIANO</v>
      </c>
      <c r="K601" s="6" t="str">
        <f>'[1]V, inciso o) (OP)'!N293</f>
        <v>TORRES</v>
      </c>
      <c r="L601" s="6" t="str">
        <f>'[1]V, inciso o) (OP)'!O293</f>
        <v>LÓPEZ</v>
      </c>
      <c r="M601" s="6" t="s">
        <v>3235</v>
      </c>
      <c r="N601" s="6" t="str">
        <f>'[1]V, inciso o) (OP)'!Q293</f>
        <v>GCS080902S44</v>
      </c>
      <c r="O601" s="11">
        <f t="shared" si="12"/>
        <v>1620156.15</v>
      </c>
      <c r="P601" s="11">
        <v>1620156.15</v>
      </c>
      <c r="Q601" s="7" t="s">
        <v>1112</v>
      </c>
      <c r="R601" s="11">
        <f>H601/262</f>
        <v>6183.802099236641</v>
      </c>
      <c r="S601" s="7" t="s">
        <v>41</v>
      </c>
      <c r="T601" s="12">
        <v>352</v>
      </c>
      <c r="U601" s="13" t="s">
        <v>42</v>
      </c>
      <c r="V601" s="43" t="s">
        <v>43</v>
      </c>
      <c r="W601" s="10">
        <f>'[1]V, inciso o) (OP)'!AD293</f>
        <v>43045</v>
      </c>
      <c r="X601" s="10">
        <f>'[1]V, inciso o) (OP)'!AE293</f>
        <v>43100</v>
      </c>
      <c r="Y601" s="7" t="s">
        <v>460</v>
      </c>
      <c r="Z601" s="7" t="s">
        <v>302</v>
      </c>
      <c r="AA601" s="7" t="s">
        <v>303</v>
      </c>
      <c r="AB601" s="21" t="s">
        <v>3290</v>
      </c>
      <c r="AC601" s="6" t="s">
        <v>2438</v>
      </c>
      <c r="AD601" s="6"/>
    </row>
    <row r="602" spans="1:30" ht="69.95" customHeight="1">
      <c r="A602" s="34">
        <v>342</v>
      </c>
      <c r="B602" s="7">
        <v>2017</v>
      </c>
      <c r="C602" s="7" t="s">
        <v>62</v>
      </c>
      <c r="D602" s="6" t="str">
        <f>'[1]V, inciso o) (OP)'!C294</f>
        <v>DOPI-MUN-R33-DS-AD-342-2017</v>
      </c>
      <c r="E602" s="10">
        <f>'[1]V, inciso o) (OP)'!V294</f>
        <v>43045</v>
      </c>
      <c r="F602" s="6" t="str">
        <f>'[1]V, inciso o) (OP)'!AA294</f>
        <v>Construcción de colector de alejamiento en la localidad de Pedregal de Milpillas, municipio de Zapopan, Jalisco, Frente 2.</v>
      </c>
      <c r="G602" s="6" t="s">
        <v>3325</v>
      </c>
      <c r="H602" s="25">
        <v>1557137.55</v>
      </c>
      <c r="I602" s="6" t="s">
        <v>1111</v>
      </c>
      <c r="J602" s="6" t="str">
        <f>'[1]V, inciso o) (OP)'!M294</f>
        <v>ERNESTO</v>
      </c>
      <c r="K602" s="6" t="str">
        <f>'[1]V, inciso o) (OP)'!N294</f>
        <v>OLIVARES</v>
      </c>
      <c r="L602" s="6" t="str">
        <f>'[1]V, inciso o) (OP)'!O294</f>
        <v>ÁLVAREZ</v>
      </c>
      <c r="M602" s="6" t="s">
        <v>2078</v>
      </c>
      <c r="N602" s="6" t="str">
        <f>'[1]V, inciso o) (OP)'!Q294</f>
        <v>MIN170819GG1</v>
      </c>
      <c r="O602" s="11">
        <f t="shared" si="12"/>
        <v>1557137.55</v>
      </c>
      <c r="P602" s="11">
        <v>1557137.55</v>
      </c>
      <c r="Q602" s="7" t="s">
        <v>1113</v>
      </c>
      <c r="R602" s="11">
        <f>H602/259</f>
        <v>6012.1140926640928</v>
      </c>
      <c r="S602" s="7" t="s">
        <v>41</v>
      </c>
      <c r="T602" s="12">
        <v>352</v>
      </c>
      <c r="U602" s="13" t="s">
        <v>42</v>
      </c>
      <c r="V602" s="43" t="s">
        <v>43</v>
      </c>
      <c r="W602" s="10">
        <f>'[1]V, inciso o) (OP)'!AD294</f>
        <v>43045</v>
      </c>
      <c r="X602" s="10">
        <f>'[1]V, inciso o) (OP)'!AE294</f>
        <v>43100</v>
      </c>
      <c r="Y602" s="7" t="s">
        <v>460</v>
      </c>
      <c r="Z602" s="7" t="s">
        <v>302</v>
      </c>
      <c r="AA602" s="7" t="s">
        <v>303</v>
      </c>
      <c r="AB602" s="21" t="s">
        <v>3291</v>
      </c>
      <c r="AC602" s="6" t="s">
        <v>2438</v>
      </c>
      <c r="AD602" s="6"/>
    </row>
    <row r="603" spans="1:30" ht="69.95" customHeight="1">
      <c r="A603" s="34">
        <v>343</v>
      </c>
      <c r="B603" s="7">
        <v>2017</v>
      </c>
      <c r="C603" s="7" t="s">
        <v>62</v>
      </c>
      <c r="D603" s="6" t="str">
        <f>'[1]V, inciso o) (OP)'!C295</f>
        <v>DOPI-MUN-R33-IH-AD-343-2017</v>
      </c>
      <c r="E603" s="10">
        <f>'[1]V, inciso o) (OP)'!V295</f>
        <v>43045</v>
      </c>
      <c r="F603" s="6" t="str">
        <f>'[1]V, inciso o) (OP)'!AA295</f>
        <v>Construcción de planta de tratamiento tipo rural, en la localidad de Pedregal de Milpillas, municipio de Zapopan, Jalisco.</v>
      </c>
      <c r="G603" s="6" t="s">
        <v>3325</v>
      </c>
      <c r="H603" s="25">
        <v>991771.16</v>
      </c>
      <c r="I603" s="6" t="s">
        <v>1111</v>
      </c>
      <c r="J603" s="6" t="str">
        <f>'[1]V, inciso o) (OP)'!M295</f>
        <v>GUSTAVO ALEJANDRO</v>
      </c>
      <c r="K603" s="6" t="str">
        <f>'[1]V, inciso o) (OP)'!N295</f>
        <v>LEDEZMA</v>
      </c>
      <c r="L603" s="6" t="str">
        <f>'[1]V, inciso o) (OP)'!O295</f>
        <v xml:space="preserve"> CERVANTES</v>
      </c>
      <c r="M603" s="6" t="s">
        <v>2266</v>
      </c>
      <c r="N603" s="6" t="str">
        <f>'[1]V, inciso o) (OP)'!Q295</f>
        <v>EPR131016I71</v>
      </c>
      <c r="O603" s="11">
        <f t="shared" si="12"/>
        <v>991771.16</v>
      </c>
      <c r="P603" s="11">
        <v>991771.16</v>
      </c>
      <c r="Q603" s="7" t="s">
        <v>50</v>
      </c>
      <c r="R603" s="11">
        <f>H603</f>
        <v>991771.16</v>
      </c>
      <c r="S603" s="7" t="s">
        <v>41</v>
      </c>
      <c r="T603" s="12">
        <v>352</v>
      </c>
      <c r="U603" s="13" t="s">
        <v>42</v>
      </c>
      <c r="V603" s="43" t="s">
        <v>43</v>
      </c>
      <c r="W603" s="10">
        <f>'[1]V, inciso o) (OP)'!AD295</f>
        <v>43045</v>
      </c>
      <c r="X603" s="10">
        <f>'[1]V, inciso o) (OP)'!AE295</f>
        <v>43100</v>
      </c>
      <c r="Y603" s="7" t="s">
        <v>460</v>
      </c>
      <c r="Z603" s="7" t="s">
        <v>302</v>
      </c>
      <c r="AA603" s="7" t="s">
        <v>303</v>
      </c>
      <c r="AB603" s="21" t="s">
        <v>2311</v>
      </c>
      <c r="AC603" s="6" t="s">
        <v>2438</v>
      </c>
      <c r="AD603" s="6"/>
    </row>
    <row r="604" spans="1:30" ht="69.95" customHeight="1">
      <c r="A604" s="34">
        <v>344</v>
      </c>
      <c r="B604" s="7">
        <v>2017</v>
      </c>
      <c r="C604" s="7" t="s">
        <v>62</v>
      </c>
      <c r="D604" s="6" t="str">
        <f>'[1]V, inciso o) (OP)'!C296</f>
        <v>DOPI-MUN-R33-PAV-AD-344-2017</v>
      </c>
      <c r="E604" s="10">
        <f>'[1]V, inciso o) (OP)'!V296</f>
        <v>43045</v>
      </c>
      <c r="F604" s="6" t="str">
        <f>'[1]V, inciso o) (OP)'!AA296</f>
        <v>Pavimentación con concreto hidráulico de vialidades en la colonia El Zapote II, incluye: guarniciones, banquetas, accesibilidad y servicios complementarios, municipio de Zapopan, Jalisco, Frente 1.</v>
      </c>
      <c r="G604" s="6" t="s">
        <v>3325</v>
      </c>
      <c r="H604" s="25">
        <v>1510992.13</v>
      </c>
      <c r="I604" s="6" t="s">
        <v>1114</v>
      </c>
      <c r="J604" s="6" t="str">
        <f>'[1]V, inciso o) (OP)'!M296</f>
        <v>MARTÍN ALEJANDRO</v>
      </c>
      <c r="K604" s="6" t="str">
        <f>'[1]V, inciso o) (OP)'!N296</f>
        <v>DIEZ MARINA</v>
      </c>
      <c r="L604" s="6" t="str">
        <f>'[1]V, inciso o) (OP)'!O296</f>
        <v>INZUNZA</v>
      </c>
      <c r="M604" s="6" t="s">
        <v>3214</v>
      </c>
      <c r="N604" s="6" t="str">
        <f>'[1]V, inciso o) (OP)'!Q296</f>
        <v>UNI1201115M6</v>
      </c>
      <c r="O604" s="11">
        <f t="shared" si="12"/>
        <v>1510992.13</v>
      </c>
      <c r="P604" s="11">
        <v>1510992.13</v>
      </c>
      <c r="Q604" s="7" t="s">
        <v>1115</v>
      </c>
      <c r="R604" s="11">
        <f>H604/988</f>
        <v>1529.3442611336031</v>
      </c>
      <c r="S604" s="7" t="s">
        <v>41</v>
      </c>
      <c r="T604" s="12">
        <v>698</v>
      </c>
      <c r="U604" s="13" t="s">
        <v>42</v>
      </c>
      <c r="V604" s="7" t="s">
        <v>43</v>
      </c>
      <c r="W604" s="10">
        <f>'[1]V, inciso o) (OP)'!AD296</f>
        <v>43045</v>
      </c>
      <c r="X604" s="10">
        <f>'[1]V, inciso o) (OP)'!AE296</f>
        <v>43100</v>
      </c>
      <c r="Y604" s="7" t="s">
        <v>780</v>
      </c>
      <c r="Z604" s="7" t="s">
        <v>818</v>
      </c>
      <c r="AA604" s="7" t="s">
        <v>186</v>
      </c>
      <c r="AB604" s="21" t="s">
        <v>2312</v>
      </c>
      <c r="AC604" s="6" t="s">
        <v>2438</v>
      </c>
      <c r="AD604" s="6"/>
    </row>
    <row r="605" spans="1:30" ht="69.95" customHeight="1">
      <c r="A605" s="34">
        <v>345</v>
      </c>
      <c r="B605" s="7">
        <v>2017</v>
      </c>
      <c r="C605" s="7" t="s">
        <v>62</v>
      </c>
      <c r="D605" s="6" t="str">
        <f>'[1]V, inciso o) (OP)'!C297</f>
        <v>DOPI-MUN-R33-PAV-AD-345-2017</v>
      </c>
      <c r="E605" s="10">
        <f>'[1]V, inciso o) (OP)'!V297</f>
        <v>43045</v>
      </c>
      <c r="F605" s="6" t="str">
        <f>'[1]V, inciso o) (OP)'!AA297</f>
        <v>Pavimentación con concreto hidráulico de vialidades en la colonia El Zapote II, incluye: guarniciones, banquetas, accesibilidad y servicios complementarios, municipio de Zapopan, Jalisco, Frente 2.</v>
      </c>
      <c r="G605" s="6" t="s">
        <v>3325</v>
      </c>
      <c r="H605" s="25">
        <v>1622165.56</v>
      </c>
      <c r="I605" s="6" t="s">
        <v>1114</v>
      </c>
      <c r="J605" s="6" t="str">
        <f>'[1]V, inciso o) (OP)'!M297</f>
        <v>EMILIO MIGUEL</v>
      </c>
      <c r="K605" s="6" t="str">
        <f>'[1]V, inciso o) (OP)'!N297</f>
        <v>ZULOAGA</v>
      </c>
      <c r="L605" s="6" t="str">
        <f>'[1]V, inciso o) (OP)'!O297</f>
        <v>SAENZ</v>
      </c>
      <c r="M605" s="6" t="s">
        <v>2187</v>
      </c>
      <c r="N605" s="6" t="str">
        <f>'[1]V, inciso o) (OP)'!Q297</f>
        <v>CSN150923FGA</v>
      </c>
      <c r="O605" s="11">
        <f t="shared" si="12"/>
        <v>1622165.56</v>
      </c>
      <c r="P605" s="11">
        <v>1622165.56</v>
      </c>
      <c r="Q605" s="7" t="s">
        <v>1116</v>
      </c>
      <c r="R605" s="11">
        <f>H605/994</f>
        <v>1631.9573038229378</v>
      </c>
      <c r="S605" s="7" t="s">
        <v>41</v>
      </c>
      <c r="T605" s="12">
        <v>698</v>
      </c>
      <c r="U605" s="13" t="s">
        <v>42</v>
      </c>
      <c r="V605" s="43" t="s">
        <v>43</v>
      </c>
      <c r="W605" s="10">
        <f>'[1]V, inciso o) (OP)'!AD297</f>
        <v>43045</v>
      </c>
      <c r="X605" s="10">
        <f>'[1]V, inciso o) (OP)'!AE297</f>
        <v>43100</v>
      </c>
      <c r="Y605" s="7" t="s">
        <v>780</v>
      </c>
      <c r="Z605" s="7" t="s">
        <v>818</v>
      </c>
      <c r="AA605" s="7" t="s">
        <v>186</v>
      </c>
      <c r="AB605" s="21" t="s">
        <v>2313</v>
      </c>
      <c r="AC605" s="6" t="s">
        <v>2438</v>
      </c>
      <c r="AD605" s="6"/>
    </row>
    <row r="606" spans="1:30" ht="69.95" customHeight="1">
      <c r="A606" s="34">
        <v>346</v>
      </c>
      <c r="B606" s="7">
        <v>2017</v>
      </c>
      <c r="C606" s="7" t="s">
        <v>62</v>
      </c>
      <c r="D606" s="6" t="str">
        <f>'[1]V, inciso o) (OP)'!C298</f>
        <v>DOPI-MUN-RM-PAV-AD-346-2017</v>
      </c>
      <c r="E606" s="10">
        <f>'[1]V, inciso o) (OP)'!V298</f>
        <v>43045</v>
      </c>
      <c r="F606" s="6" t="str">
        <f>'[1]V, inciso o) (OP)'!AA298</f>
        <v>Pavimentación con concreto hidráulico, puente vehicular y obra complementaria en la calle Emiliano Zapata y calle Pípila, en la colonia La Martinica, municipio de Zapopan, Jalisco.</v>
      </c>
      <c r="G606" s="6" t="s">
        <v>63</v>
      </c>
      <c r="H606" s="25">
        <v>1452125.63</v>
      </c>
      <c r="I606" s="6" t="s">
        <v>475</v>
      </c>
      <c r="J606" s="6" t="str">
        <f>'[1]V, inciso o) (OP)'!M298</f>
        <v>SERGIO CESAR</v>
      </c>
      <c r="K606" s="6" t="str">
        <f>'[1]V, inciso o) (OP)'!N298</f>
        <v>DÍAZ</v>
      </c>
      <c r="L606" s="6" t="str">
        <f>'[1]V, inciso o) (OP)'!O298</f>
        <v>QUIROZ</v>
      </c>
      <c r="M606" s="6" t="s">
        <v>1827</v>
      </c>
      <c r="N606" s="6" t="str">
        <f>'[1]V, inciso o) (OP)'!Q298</f>
        <v>TRA750528286</v>
      </c>
      <c r="O606" s="11">
        <f t="shared" si="12"/>
        <v>1452125.63</v>
      </c>
      <c r="P606" s="11">
        <f>O606</f>
        <v>1452125.63</v>
      </c>
      <c r="Q606" s="7" t="s">
        <v>1117</v>
      </c>
      <c r="R606" s="11">
        <f>H606/1021</f>
        <v>1422.258207639569</v>
      </c>
      <c r="S606" s="7" t="s">
        <v>41</v>
      </c>
      <c r="T606" s="12">
        <v>752</v>
      </c>
      <c r="U606" s="13" t="s">
        <v>42</v>
      </c>
      <c r="V606" s="7" t="s">
        <v>373</v>
      </c>
      <c r="W606" s="10">
        <f>'[1]V, inciso o) (OP)'!AD298</f>
        <v>43045</v>
      </c>
      <c r="X606" s="10">
        <f>'[1]V, inciso o) (OP)'!AE298</f>
        <v>43100</v>
      </c>
      <c r="Y606" s="7" t="s">
        <v>441</v>
      </c>
      <c r="Z606" s="7" t="s">
        <v>442</v>
      </c>
      <c r="AA606" s="7" t="s">
        <v>443</v>
      </c>
      <c r="AB606" s="21" t="s">
        <v>2845</v>
      </c>
      <c r="AC606" s="6" t="s">
        <v>2438</v>
      </c>
      <c r="AD606" s="6"/>
    </row>
    <row r="607" spans="1:30" ht="69.95" customHeight="1">
      <c r="A607" s="34">
        <v>347</v>
      </c>
      <c r="B607" s="7">
        <v>2017</v>
      </c>
      <c r="C607" s="7" t="s">
        <v>62</v>
      </c>
      <c r="D607" s="6" t="str">
        <f>'[1]V, inciso o) (OP)'!C299</f>
        <v>DOPI-MUN-RM-IM-AD-347-2017</v>
      </c>
      <c r="E607" s="10">
        <f>'[1]V, inciso o) (OP)'!V299</f>
        <v>43045</v>
      </c>
      <c r="F607" s="6" t="str">
        <f>'[1]V, inciso o) (OP)'!AA299</f>
        <v>Trabajos complementarios de cancelería de aluminio, equipamiento, instalación de mamparas y jardinería en el centro de desarrollo infantil La Loma, municipio de Zapopan, Jalisco.</v>
      </c>
      <c r="G607" s="6" t="s">
        <v>63</v>
      </c>
      <c r="H607" s="25">
        <v>1485030.58</v>
      </c>
      <c r="I607" s="6" t="s">
        <v>1118</v>
      </c>
      <c r="J607" s="6" t="str">
        <f>'[1]V, inciso o) (OP)'!M299</f>
        <v>ELSA GABRIELA</v>
      </c>
      <c r="K607" s="6" t="str">
        <f>'[1]V, inciso o) (OP)'!N299</f>
        <v>ROMERO</v>
      </c>
      <c r="L607" s="6" t="str">
        <f>'[1]V, inciso o) (OP)'!O299</f>
        <v>ORTEGA</v>
      </c>
      <c r="M607" s="6" t="s">
        <v>3236</v>
      </c>
      <c r="N607" s="6" t="str">
        <f>'[1]V, inciso o) (OP)'!Q299</f>
        <v>EVI940414M46</v>
      </c>
      <c r="O607" s="11">
        <f t="shared" si="12"/>
        <v>1485030.58</v>
      </c>
      <c r="P607" s="11">
        <v>1485003.86</v>
      </c>
      <c r="Q607" s="7" t="s">
        <v>428</v>
      </c>
      <c r="R607" s="11">
        <f>H607/1240</f>
        <v>1197.6053064516129</v>
      </c>
      <c r="S607" s="7" t="s">
        <v>41</v>
      </c>
      <c r="T607" s="12">
        <v>8450</v>
      </c>
      <c r="U607" s="13" t="s">
        <v>42</v>
      </c>
      <c r="V607" s="43" t="s">
        <v>43</v>
      </c>
      <c r="W607" s="10">
        <f>'[1]V, inciso o) (OP)'!AD299</f>
        <v>43045</v>
      </c>
      <c r="X607" s="10">
        <f>'[1]V, inciso o) (OP)'!AE299</f>
        <v>43100</v>
      </c>
      <c r="Y607" s="7" t="s">
        <v>429</v>
      </c>
      <c r="Z607" s="7" t="s">
        <v>290</v>
      </c>
      <c r="AA607" s="7" t="s">
        <v>73</v>
      </c>
      <c r="AB607" s="21" t="s">
        <v>2756</v>
      </c>
      <c r="AC607" s="6" t="s">
        <v>2438</v>
      </c>
      <c r="AD607" s="6"/>
    </row>
    <row r="608" spans="1:30" ht="69.95" customHeight="1">
      <c r="A608" s="34">
        <v>348</v>
      </c>
      <c r="B608" s="7">
        <v>2017</v>
      </c>
      <c r="C608" s="7" t="s">
        <v>62</v>
      </c>
      <c r="D608" s="6" t="str">
        <f>'[1]V, inciso o) (OP)'!C300</f>
        <v>DOPI-MUN-RM-ELE-AD-348-2017</v>
      </c>
      <c r="E608" s="10">
        <f>'[1]V, inciso o) (OP)'!V300</f>
        <v>43045</v>
      </c>
      <c r="F608" s="6" t="str">
        <f>'[1]V, inciso o) (OP)'!AA300</f>
        <v>Obra eléctrica complementaria en el Centro de Desarrollo Infantil La Loma, municipio de Zapopan, Jalisco.</v>
      </c>
      <c r="G608" s="6" t="s">
        <v>63</v>
      </c>
      <c r="H608" s="25">
        <v>1134380.3999999999</v>
      </c>
      <c r="I608" s="6" t="s">
        <v>1118</v>
      </c>
      <c r="J608" s="6" t="str">
        <f>'[1]V, inciso o) (OP)'!M300</f>
        <v xml:space="preserve">HÉCTOR MANUEL </v>
      </c>
      <c r="K608" s="6" t="str">
        <f>'[1]V, inciso o) (OP)'!N300</f>
        <v xml:space="preserve"> CRUZ </v>
      </c>
      <c r="L608" s="6" t="str">
        <f>'[1]V, inciso o) (OP)'!O300</f>
        <v xml:space="preserve"> ALCALA</v>
      </c>
      <c r="M608" s="6" t="s">
        <v>3237</v>
      </c>
      <c r="N608" s="6" t="str">
        <f>'[1]V, inciso o) (OP)'!Q300</f>
        <v>AGC960215977</v>
      </c>
      <c r="O608" s="11">
        <f t="shared" si="12"/>
        <v>1134380.3999999999</v>
      </c>
      <c r="P608" s="11">
        <v>1134180.19</v>
      </c>
      <c r="Q608" s="7" t="s">
        <v>428</v>
      </c>
      <c r="R608" s="11">
        <f>H608/1240</f>
        <v>914.82290322580639</v>
      </c>
      <c r="S608" s="7" t="s">
        <v>41</v>
      </c>
      <c r="T608" s="12">
        <v>8450</v>
      </c>
      <c r="U608" s="13" t="s">
        <v>42</v>
      </c>
      <c r="V608" s="43" t="s">
        <v>43</v>
      </c>
      <c r="W608" s="10">
        <f>'[1]V, inciso o) (OP)'!AD300</f>
        <v>43045</v>
      </c>
      <c r="X608" s="10">
        <f>'[1]V, inciso o) (OP)'!AE300</f>
        <v>43100</v>
      </c>
      <c r="Y608" s="7" t="s">
        <v>429</v>
      </c>
      <c r="Z608" s="7" t="s">
        <v>290</v>
      </c>
      <c r="AA608" s="7" t="s">
        <v>73</v>
      </c>
      <c r="AB608" s="21" t="s">
        <v>2757</v>
      </c>
      <c r="AC608" s="6" t="s">
        <v>2438</v>
      </c>
      <c r="AD608" s="6"/>
    </row>
    <row r="609" spans="1:30" ht="69.95" customHeight="1">
      <c r="A609" s="34">
        <v>350</v>
      </c>
      <c r="B609" s="7">
        <v>2017</v>
      </c>
      <c r="C609" s="7" t="s">
        <v>62</v>
      </c>
      <c r="D609" s="6" t="str">
        <f>'[1]V, inciso o) (OP)'!C301</f>
        <v>DOPI-MUN-RM-IE-AD-350-2017</v>
      </c>
      <c r="E609" s="10">
        <f>'[1]V, inciso o) (OP)'!V301</f>
        <v>43060</v>
      </c>
      <c r="F609" s="32" t="str">
        <f>'[1]V, inciso o) (OP)'!AA301</f>
        <v>Reforzamiento Complementario de estructuras con lonarias en los planteles educativos: Plaza Comunitaria Ineejad matricula 200, colonia Centro; Centro de Atención Especial matricula 181, colonia El Vigia; Escuela Primaria Justo Sierra matricula 1115, localidad de Santa Anta Tepetitlán; Escuela Primaria Sor Juana Inés de la Cruz y José Vasconcelos matricula 1026, colonia Jardines del Valle; Escuela Primaria José Amador Pelayo y Miguel Hidalgo y Costilla matricula 985, colonia Lomas de Tabachines; Escuela Primaria Urbana Juan Escutia 1130 y Agustín Yañez matricula 916, colonia Paraísos del Colli; Escuela Primaria Vicente Guerrero matricula 854, colonia Vicente Guerrero, municipio de Zapopan, Jalisco.</v>
      </c>
      <c r="G609" s="6" t="s">
        <v>63</v>
      </c>
      <c r="H609" s="25">
        <v>1350236.78</v>
      </c>
      <c r="I609" s="6" t="s">
        <v>1119</v>
      </c>
      <c r="J609" s="6" t="str">
        <f>'[1]V, inciso o) (OP)'!M301</f>
        <v>GUSTAVO</v>
      </c>
      <c r="K609" s="6" t="str">
        <f>'[1]V, inciso o) (OP)'!N301</f>
        <v>DURAN</v>
      </c>
      <c r="L609" s="6" t="str">
        <f>'[1]V, inciso o) (OP)'!O301</f>
        <v>JIMÉNEZ</v>
      </c>
      <c r="M609" s="6" t="s">
        <v>2150</v>
      </c>
      <c r="N609" s="6" t="str">
        <f>'[1]V, inciso o) (OP)'!Q301</f>
        <v>DJA9405184G7</v>
      </c>
      <c r="O609" s="11">
        <f t="shared" ref="O609:O672" si="16">H609</f>
        <v>1350236.78</v>
      </c>
      <c r="P609" s="11">
        <v>1209074.79</v>
      </c>
      <c r="Q609" s="7" t="s">
        <v>1120</v>
      </c>
      <c r="R609" s="11">
        <f>H609/1633</f>
        <v>826.84432333129212</v>
      </c>
      <c r="S609" s="7" t="s">
        <v>41</v>
      </c>
      <c r="T609" s="12">
        <v>3469</v>
      </c>
      <c r="U609" s="13" t="s">
        <v>42</v>
      </c>
      <c r="V609" s="43" t="s">
        <v>43</v>
      </c>
      <c r="W609" s="10">
        <f>'[1]V, inciso o) (OP)'!AD301</f>
        <v>43060</v>
      </c>
      <c r="X609" s="10">
        <f>'[1]V, inciso o) (OP)'!AE301</f>
        <v>43153</v>
      </c>
      <c r="Y609" s="7" t="s">
        <v>838</v>
      </c>
      <c r="Z609" s="7" t="s">
        <v>447</v>
      </c>
      <c r="AA609" s="7" t="s">
        <v>448</v>
      </c>
      <c r="AB609" s="21" t="s">
        <v>2314</v>
      </c>
      <c r="AC609" s="6" t="s">
        <v>2438</v>
      </c>
      <c r="AD609" s="6"/>
    </row>
    <row r="610" spans="1:30" ht="69.95" customHeight="1">
      <c r="A610" s="34">
        <v>351</v>
      </c>
      <c r="B610" s="7">
        <v>2017</v>
      </c>
      <c r="C610" s="7" t="s">
        <v>62</v>
      </c>
      <c r="D610" s="6" t="str">
        <f>'[1]V, inciso o) (OP)'!C302</f>
        <v>DOPI-MUN-RM-IE-AD-351-2017</v>
      </c>
      <c r="E610" s="10">
        <f>'[1]V, inciso o) (OP)'!V302</f>
        <v>43060</v>
      </c>
      <c r="F610" s="32" t="str">
        <f>'[1]V, inciso o) (OP)'!AA302</f>
        <v>Reforzamiento Complementario de estructuras con lonarias en los planteles educativos: Escuela Primaria Niños Héroes y Salvador López Chávez, matricula 750, colonia Pinar de la Calma; Escuela Primaria Idolina Gaona Cosio de Vidaurri, matricula 703, colonia Los Cajetes; Escuela Primaria Antonio Caso y Patria, matricula 490, colonia El Briseño segunda sección; Escuela Primaria Paulo Freire y 24 de Octubre, matricula 675, colonia Mariano Otero; Escuela Primaria Rafael Ramírez, matricula 240, colonia Paseos del Briseño, municipio de Zapopan, Jalisco.</v>
      </c>
      <c r="G610" s="6" t="s">
        <v>63</v>
      </c>
      <c r="H610" s="25">
        <v>1385698.44</v>
      </c>
      <c r="I610" s="6" t="s">
        <v>1121</v>
      </c>
      <c r="J610" s="6" t="str">
        <f>'[1]V, inciso o) (OP)'!M302</f>
        <v xml:space="preserve">EDUARDO </v>
      </c>
      <c r="K610" s="6" t="str">
        <f>'[1]V, inciso o) (OP)'!N302</f>
        <v>CRUZ</v>
      </c>
      <c r="L610" s="6" t="str">
        <f>'[1]V, inciso o) (OP)'!O302</f>
        <v>MOGUEL</v>
      </c>
      <c r="M610" s="6" t="s">
        <v>1941</v>
      </c>
      <c r="N610" s="6" t="str">
        <f>'[1]V, inciso o) (OP)'!Q302</f>
        <v>BAL990803661</v>
      </c>
      <c r="O610" s="11">
        <f t="shared" si="16"/>
        <v>1385698.44</v>
      </c>
      <c r="P610" s="11">
        <v>621102.86</v>
      </c>
      <c r="Q610" s="7" t="s">
        <v>1122</v>
      </c>
      <c r="R610" s="11">
        <f>H610/1648</f>
        <v>840.83643203883491</v>
      </c>
      <c r="S610" s="7" t="s">
        <v>41</v>
      </c>
      <c r="T610" s="12">
        <v>3267</v>
      </c>
      <c r="U610" s="13" t="s">
        <v>42</v>
      </c>
      <c r="V610" s="43" t="s">
        <v>43</v>
      </c>
      <c r="W610" s="10">
        <f>'[1]V, inciso o) (OP)'!AD302</f>
        <v>43060</v>
      </c>
      <c r="X610" s="10">
        <f>'[1]V, inciso o) (OP)'!AE302</f>
        <v>43153</v>
      </c>
      <c r="Y610" s="7" t="s">
        <v>429</v>
      </c>
      <c r="Z610" s="7" t="s">
        <v>290</v>
      </c>
      <c r="AA610" s="7" t="s">
        <v>73</v>
      </c>
      <c r="AB610" s="21" t="s">
        <v>2844</v>
      </c>
      <c r="AC610" s="6" t="s">
        <v>2438</v>
      </c>
      <c r="AD610" s="6"/>
    </row>
    <row r="611" spans="1:30" ht="69.95" customHeight="1">
      <c r="A611" s="34">
        <v>352</v>
      </c>
      <c r="B611" s="7">
        <v>2017</v>
      </c>
      <c r="C611" s="7" t="s">
        <v>62</v>
      </c>
      <c r="D611" s="6" t="str">
        <f>'[1]V, inciso o) (OP)'!C303</f>
        <v>DOPI-MUN-RM-BAN-AD-352-2017</v>
      </c>
      <c r="E611" s="10">
        <f>'[1]V, inciso o) (OP)'!V303</f>
        <v>43040</v>
      </c>
      <c r="F611" s="6" t="str">
        <f>'[1]V, inciso o) (OP)'!AA303</f>
        <v>Peatonalización (banquetas y obras de accesibilidad) del área de influencia del Centro de Desarrollo Infantil No. 5, ubicado en El Colli, municipio de Zapopan, Jalisco.</v>
      </c>
      <c r="G611" s="6" t="s">
        <v>63</v>
      </c>
      <c r="H611" s="25">
        <v>253296.41</v>
      </c>
      <c r="I611" s="6" t="s">
        <v>1097</v>
      </c>
      <c r="J611" s="6" t="str">
        <f>'[1]V, inciso o) (OP)'!M303</f>
        <v xml:space="preserve">EDUARDO </v>
      </c>
      <c r="K611" s="6" t="str">
        <f>'[1]V, inciso o) (OP)'!N303</f>
        <v>PLASCENCIA</v>
      </c>
      <c r="L611" s="6" t="str">
        <f>'[1]V, inciso o) (OP)'!O303</f>
        <v>MACIAS</v>
      </c>
      <c r="M611" s="6" t="s">
        <v>3079</v>
      </c>
      <c r="N611" s="6" t="str">
        <f>'[1]V, inciso o) (OP)'!Q303</f>
        <v>CEP080129EK6</v>
      </c>
      <c r="O611" s="11">
        <f t="shared" si="16"/>
        <v>253296.41</v>
      </c>
      <c r="P611" s="11">
        <v>252987.84</v>
      </c>
      <c r="Q611" s="7" t="s">
        <v>980</v>
      </c>
      <c r="R611" s="11">
        <f>H611/297</f>
        <v>852.84986531986533</v>
      </c>
      <c r="S611" s="7" t="s">
        <v>41</v>
      </c>
      <c r="T611" s="12">
        <v>866</v>
      </c>
      <c r="U611" s="13" t="s">
        <v>42</v>
      </c>
      <c r="V611" s="7" t="s">
        <v>43</v>
      </c>
      <c r="W611" s="10">
        <f>'[1]V, inciso o) (OP)'!AD303</f>
        <v>43040</v>
      </c>
      <c r="X611" s="10">
        <f>'[1]V, inciso o) (OP)'!AE303</f>
        <v>43100</v>
      </c>
      <c r="Y611" s="7" t="s">
        <v>599</v>
      </c>
      <c r="Z611" s="7" t="s">
        <v>307</v>
      </c>
      <c r="AA611" s="7" t="s">
        <v>61</v>
      </c>
      <c r="AB611" s="21" t="s">
        <v>2758</v>
      </c>
      <c r="AC611" s="6" t="s">
        <v>2438</v>
      </c>
      <c r="AD611" s="6"/>
    </row>
    <row r="612" spans="1:30" ht="69.95" customHeight="1">
      <c r="A612" s="34">
        <v>353</v>
      </c>
      <c r="B612" s="7">
        <v>2017</v>
      </c>
      <c r="C612" s="7" t="s">
        <v>62</v>
      </c>
      <c r="D612" s="6" t="str">
        <f>'[1]V, inciso o) (OP)'!C304</f>
        <v>DOPI-MUN-RM-PAV-AD-353-2017</v>
      </c>
      <c r="E612" s="10">
        <f>'[1]V, inciso o) (OP)'!V304</f>
        <v>43080</v>
      </c>
      <c r="F612" s="32" t="str">
        <f>'[1]V, inciso o) (OP)'!AA304</f>
        <v>Pavimentación con concreto hidráulico en la calle La Palma de Rinconada de los Abetos a la Eucalipto, colonia El Fresno, incluye: banquetas, peatonalización, señalamiento y obras complementarias, en el municipio de Zapopan, Jalisco.</v>
      </c>
      <c r="G612" s="6" t="s">
        <v>63</v>
      </c>
      <c r="H612" s="25">
        <v>1717898.58</v>
      </c>
      <c r="I612" s="6" t="s">
        <v>1123</v>
      </c>
      <c r="J612" s="6" t="str">
        <f>'[1]V, inciso o) (OP)'!M304</f>
        <v>CARLOS CELSO</v>
      </c>
      <c r="K612" s="6" t="str">
        <f>'[1]V, inciso o) (OP)'!N304</f>
        <v>GARCÍA</v>
      </c>
      <c r="L612" s="6" t="str">
        <f>'[1]V, inciso o) (OP)'!O304</f>
        <v>QUINTERO</v>
      </c>
      <c r="M612" s="6" t="s">
        <v>3164</v>
      </c>
      <c r="N612" s="6" t="str">
        <f>'[1]V, inciso o) (OP)'!Q304</f>
        <v>GCH070702SH8</v>
      </c>
      <c r="O612" s="11">
        <f t="shared" si="16"/>
        <v>1717898.58</v>
      </c>
      <c r="P612" s="11">
        <v>1626888.51</v>
      </c>
      <c r="Q612" s="7" t="s">
        <v>1124</v>
      </c>
      <c r="R612" s="11">
        <f>H612/624</f>
        <v>2753.0425961538463</v>
      </c>
      <c r="S612" s="7" t="s">
        <v>41</v>
      </c>
      <c r="T612" s="12">
        <v>364</v>
      </c>
      <c r="U612" s="13" t="s">
        <v>42</v>
      </c>
      <c r="V612" s="43" t="s">
        <v>43</v>
      </c>
      <c r="W612" s="10">
        <f>'[1]V, inciso o) (OP)'!AD304</f>
        <v>43080</v>
      </c>
      <c r="X612" s="10">
        <f>'[1]V, inciso o) (OP)'!AE304</f>
        <v>43159</v>
      </c>
      <c r="Y612" s="7" t="s">
        <v>815</v>
      </c>
      <c r="Z612" s="7" t="s">
        <v>816</v>
      </c>
      <c r="AA612" s="7" t="s">
        <v>130</v>
      </c>
      <c r="AB612" s="21" t="s">
        <v>2759</v>
      </c>
      <c r="AC612" s="6" t="s">
        <v>2438</v>
      </c>
      <c r="AD612" s="6"/>
    </row>
    <row r="613" spans="1:30" ht="69.95" customHeight="1">
      <c r="A613" s="34">
        <v>354</v>
      </c>
      <c r="B613" s="7">
        <v>2017</v>
      </c>
      <c r="C613" s="7" t="s">
        <v>62</v>
      </c>
      <c r="D613" s="6" t="str">
        <f>'[1]V, inciso o) (OP)'!C305</f>
        <v>DOPI-MUN-RM-PAV-AD-354-2017</v>
      </c>
      <c r="E613" s="10">
        <f>'[1]V, inciso o) (OP)'!V305</f>
        <v>43080</v>
      </c>
      <c r="F613" s="6" t="str">
        <f>'[1]V, inciso o) (OP)'!AA305</f>
        <v>Pavimentación con concreto hidráulico,  incluye: banquetas, peatonalización, señalamiento y obras complementarias en la calle Eucalipto de Primavera a Pirul, colonia El Fresno, en el municipio de Zapopan, Jalisco.</v>
      </c>
      <c r="G613" s="6" t="s">
        <v>63</v>
      </c>
      <c r="H613" s="25">
        <v>1656483.25</v>
      </c>
      <c r="I613" s="6" t="s">
        <v>1123</v>
      </c>
      <c r="J613" s="6" t="str">
        <f>'[1]V, inciso o) (OP)'!M305</f>
        <v>DAVID SERGIO</v>
      </c>
      <c r="K613" s="6" t="str">
        <f>'[1]V, inciso o) (OP)'!N305</f>
        <v>DOMINGUEZ</v>
      </c>
      <c r="L613" s="6" t="str">
        <f>'[1]V, inciso o) (OP)'!O305</f>
        <v>MEZA</v>
      </c>
      <c r="M613" s="6" t="s">
        <v>3170</v>
      </c>
      <c r="N613" s="6" t="str">
        <f>'[1]V, inciso o) (OP)'!Q305</f>
        <v>VCO9412201J0</v>
      </c>
      <c r="O613" s="11">
        <f t="shared" si="16"/>
        <v>1656483.25</v>
      </c>
      <c r="P613" s="11">
        <v>1179151.26</v>
      </c>
      <c r="Q613" s="7" t="s">
        <v>1125</v>
      </c>
      <c r="R613" s="11">
        <f>H613/615</f>
        <v>2693.4686991869917</v>
      </c>
      <c r="S613" s="7" t="s">
        <v>41</v>
      </c>
      <c r="T613" s="12">
        <v>364</v>
      </c>
      <c r="U613" s="13" t="s">
        <v>42</v>
      </c>
      <c r="V613" s="43" t="s">
        <v>43</v>
      </c>
      <c r="W613" s="10">
        <f>'[1]V, inciso o) (OP)'!AD305</f>
        <v>43080</v>
      </c>
      <c r="X613" s="10">
        <f>'[1]V, inciso o) (OP)'!AE305</f>
        <v>43159</v>
      </c>
      <c r="Y613" s="7" t="s">
        <v>815</v>
      </c>
      <c r="Z613" s="7" t="s">
        <v>816</v>
      </c>
      <c r="AA613" s="7" t="s">
        <v>130</v>
      </c>
      <c r="AB613" s="21" t="s">
        <v>2315</v>
      </c>
      <c r="AC613" s="6" t="s">
        <v>2438</v>
      </c>
      <c r="AD613" s="6"/>
    </row>
    <row r="614" spans="1:30" ht="69.95" customHeight="1">
      <c r="A614" s="34">
        <v>355</v>
      </c>
      <c r="B614" s="7">
        <v>2017</v>
      </c>
      <c r="C614" s="7" t="s">
        <v>62</v>
      </c>
      <c r="D614" s="6" t="str">
        <f>'[1]V, inciso o) (OP)'!C306</f>
        <v>DOPI-MUN-RM-IM-AD-355-2017</v>
      </c>
      <c r="E614" s="10">
        <f>'[1]V, inciso o) (OP)'!V306</f>
        <v>43052</v>
      </c>
      <c r="F614" s="6" t="str">
        <f>'[1]V, inciso o) (OP)'!AA306</f>
        <v>Tratamiento y aplicación de recubrimientos en pisos de pasillos de circulación del mercado municipal Atemajac, municipio de Zapopan, Jalisco.</v>
      </c>
      <c r="G614" s="6" t="s">
        <v>63</v>
      </c>
      <c r="H614" s="25">
        <v>1685254.36</v>
      </c>
      <c r="I614" s="6" t="s">
        <v>1101</v>
      </c>
      <c r="J614" s="6" t="str">
        <f>'[1]V, inciso o) (OP)'!M306</f>
        <v>MAXIMILIANO</v>
      </c>
      <c r="K614" s="6" t="str">
        <f>'[1]V, inciso o) (OP)'!N306</f>
        <v>TORRES</v>
      </c>
      <c r="L614" s="6" t="str">
        <f>'[1]V, inciso o) (OP)'!O306</f>
        <v>LÓPEZ</v>
      </c>
      <c r="M614" s="6" t="s">
        <v>3235</v>
      </c>
      <c r="N614" s="6" t="str">
        <f>'[1]V, inciso o) (OP)'!Q306</f>
        <v>GCS080902S44</v>
      </c>
      <c r="O614" s="11">
        <f t="shared" si="16"/>
        <v>1685254.36</v>
      </c>
      <c r="P614" s="11">
        <v>1685254.3599999999</v>
      </c>
      <c r="Q614" s="7" t="s">
        <v>1126</v>
      </c>
      <c r="R614" s="11">
        <f>H614/1158</f>
        <v>1455.3146459412781</v>
      </c>
      <c r="S614" s="7" t="s">
        <v>41</v>
      </c>
      <c r="T614" s="12">
        <v>12690</v>
      </c>
      <c r="U614" s="13" t="s">
        <v>42</v>
      </c>
      <c r="V614" s="7" t="s">
        <v>43</v>
      </c>
      <c r="W614" s="10">
        <f>'[1]V, inciso o) (OP)'!AD306</f>
        <v>43052</v>
      </c>
      <c r="X614" s="10">
        <f>'[1]V, inciso o) (OP)'!AE306</f>
        <v>43115</v>
      </c>
      <c r="Y614" s="7" t="s">
        <v>394</v>
      </c>
      <c r="Z614" s="7" t="s">
        <v>279</v>
      </c>
      <c r="AA614" s="7" t="s">
        <v>78</v>
      </c>
      <c r="AB614" s="21" t="s">
        <v>2316</v>
      </c>
      <c r="AC614" s="6" t="s">
        <v>2438</v>
      </c>
      <c r="AD614" s="6"/>
    </row>
    <row r="615" spans="1:30" ht="69.95" customHeight="1">
      <c r="A615" s="34">
        <v>356</v>
      </c>
      <c r="B615" s="7">
        <v>2017</v>
      </c>
      <c r="C615" s="7" t="s">
        <v>62</v>
      </c>
      <c r="D615" s="6" t="str">
        <f>'[1]V, inciso o) (OP)'!C307</f>
        <v>DOPI-MUN-RM-IM-AD-356-2017</v>
      </c>
      <c r="E615" s="10">
        <f>'[1]V, inciso o) (OP)'!V307</f>
        <v>43052</v>
      </c>
      <c r="F615" s="6" t="str">
        <f>'[1]V, inciso o) (OP)'!AA307</f>
        <v>Rehabilitación de módulo de baños en planta baja, pintura, albañilerías, acabados, banquetas y peatonalización, en el mercado municipal Atemajac, municipio de Zapopan, Jalisco.</v>
      </c>
      <c r="G615" s="6" t="s">
        <v>63</v>
      </c>
      <c r="H615" s="25">
        <v>1710691.99</v>
      </c>
      <c r="I615" s="6" t="s">
        <v>1101</v>
      </c>
      <c r="J615" s="6" t="str">
        <f>'[1]V, inciso o) (OP)'!M307</f>
        <v>GUSTAVO ALEJANDRO</v>
      </c>
      <c r="K615" s="6" t="str">
        <f>'[1]V, inciso o) (OP)'!N307</f>
        <v>LEDEZMA</v>
      </c>
      <c r="L615" s="6" t="str">
        <f>'[1]V, inciso o) (OP)'!O307</f>
        <v xml:space="preserve"> CERVANTES</v>
      </c>
      <c r="M615" s="6" t="s">
        <v>2266</v>
      </c>
      <c r="N615" s="6" t="str">
        <f>'[1]V, inciso o) (OP)'!Q307</f>
        <v>EPR131016I71</v>
      </c>
      <c r="O615" s="11">
        <f t="shared" si="16"/>
        <v>1710691.99</v>
      </c>
      <c r="P615" s="11">
        <v>1702480.2000000002</v>
      </c>
      <c r="Q615" s="7" t="s">
        <v>1127</v>
      </c>
      <c r="R615" s="11">
        <f>H615/432</f>
        <v>3959.9351620370371</v>
      </c>
      <c r="S615" s="7" t="s">
        <v>41</v>
      </c>
      <c r="T615" s="12">
        <v>12690</v>
      </c>
      <c r="U615" s="13" t="s">
        <v>42</v>
      </c>
      <c r="V615" s="43" t="s">
        <v>43</v>
      </c>
      <c r="W615" s="10">
        <f>'[1]V, inciso o) (OP)'!AD307</f>
        <v>43052</v>
      </c>
      <c r="X615" s="10">
        <f>'[1]V, inciso o) (OP)'!AE307</f>
        <v>43115</v>
      </c>
      <c r="Y615" s="7" t="s">
        <v>394</v>
      </c>
      <c r="Z615" s="7" t="s">
        <v>279</v>
      </c>
      <c r="AA615" s="7" t="s">
        <v>78</v>
      </c>
      <c r="AB615" s="21" t="s">
        <v>2317</v>
      </c>
      <c r="AC615" s="6" t="s">
        <v>2438</v>
      </c>
      <c r="AD615" s="6"/>
    </row>
    <row r="616" spans="1:30" ht="69.95" customHeight="1">
      <c r="A616" s="34">
        <v>357</v>
      </c>
      <c r="B616" s="7">
        <v>2017</v>
      </c>
      <c r="C616" s="7" t="s">
        <v>62</v>
      </c>
      <c r="D616" s="6" t="str">
        <f>'[1]V, inciso o) (OP)'!C308</f>
        <v>DOPI-MUN-RM-DS-AD-357-2017</v>
      </c>
      <c r="E616" s="10">
        <f>'[1]V, inciso o) (OP)'!V308</f>
        <v>43080</v>
      </c>
      <c r="F616" s="6" t="str">
        <f>'[1]V, inciso o) (OP)'!AA308</f>
        <v>Construcción de red de drenaje sanitario en la calle Vista al Mirador de Puesta del Sol a Vista la Campiña, en la colonia Vista Hermosa, municipio de Zapopan, Jalisco.</v>
      </c>
      <c r="G616" s="6" t="s">
        <v>63</v>
      </c>
      <c r="H616" s="25">
        <v>650235.78</v>
      </c>
      <c r="I616" s="6" t="s">
        <v>85</v>
      </c>
      <c r="J616" s="6" t="str">
        <f>'[1]V, inciso o) (OP)'!M308</f>
        <v>RAFAEL AUGUSTO</v>
      </c>
      <c r="K616" s="6" t="str">
        <f>'[1]V, inciso o) (OP)'!N308</f>
        <v>CABALLERO</v>
      </c>
      <c r="L616" s="6" t="str">
        <f>'[1]V, inciso o) (OP)'!O308</f>
        <v>QUIRARTE</v>
      </c>
      <c r="M616" s="6" t="s">
        <v>3043</v>
      </c>
      <c r="N616" s="6" t="str">
        <f>'[1]V, inciso o) (OP)'!Q308</f>
        <v>PAT110331HH0</v>
      </c>
      <c r="O616" s="11">
        <f t="shared" si="16"/>
        <v>650235.78</v>
      </c>
      <c r="P616" s="11">
        <v>650235.31000000006</v>
      </c>
      <c r="Q616" s="7" t="s">
        <v>1128</v>
      </c>
      <c r="R616" s="11">
        <f>H616/120</f>
        <v>5418.6315000000004</v>
      </c>
      <c r="S616" s="7" t="s">
        <v>41</v>
      </c>
      <c r="T616" s="12">
        <v>165</v>
      </c>
      <c r="U616" s="13" t="s">
        <v>42</v>
      </c>
      <c r="V616" s="43" t="s">
        <v>43</v>
      </c>
      <c r="W616" s="10">
        <f>'[1]V, inciso o) (OP)'!AD308</f>
        <v>43080</v>
      </c>
      <c r="X616" s="10">
        <f>'[1]V, inciso o) (OP)'!AE308</f>
        <v>43174</v>
      </c>
      <c r="Y616" s="7" t="s">
        <v>780</v>
      </c>
      <c r="Z616" s="7" t="s">
        <v>818</v>
      </c>
      <c r="AA616" s="7" t="s">
        <v>186</v>
      </c>
      <c r="AB616" s="21" t="s">
        <v>2318</v>
      </c>
      <c r="AC616" s="6" t="s">
        <v>2438</v>
      </c>
      <c r="AD616" s="6"/>
    </row>
    <row r="617" spans="1:30" ht="69.95" customHeight="1">
      <c r="A617" s="34">
        <v>358</v>
      </c>
      <c r="B617" s="7">
        <v>2017</v>
      </c>
      <c r="C617" s="7" t="s">
        <v>62</v>
      </c>
      <c r="D617" s="6" t="str">
        <f>'[1]V, inciso o) (OP)'!C309</f>
        <v>DOPI-MUN-RM-IM-AD-358-2017</v>
      </c>
      <c r="E617" s="10">
        <f>'[1]V, inciso o) (OP)'!V309</f>
        <v>43073</v>
      </c>
      <c r="F617" s="6" t="str">
        <f>'[1]V, inciso o) (OP)'!AA309</f>
        <v>Trabajos complementarios de carpintería y cancelería de aluminio en el Centro de Salud El Colli, ubicado en El Colli, municipio de Zapopan, Jalisco.</v>
      </c>
      <c r="G617" s="6" t="s">
        <v>63</v>
      </c>
      <c r="H617" s="25">
        <v>650126.87</v>
      </c>
      <c r="I617" s="6" t="s">
        <v>1129</v>
      </c>
      <c r="J617" s="6" t="str">
        <f>'[1]V, inciso o) (OP)'!M309</f>
        <v>MARCELO FERNANDO</v>
      </c>
      <c r="K617" s="6" t="str">
        <f>'[1]V, inciso o) (OP)'!N309</f>
        <v>DE ANDA</v>
      </c>
      <c r="L617" s="6" t="str">
        <f>'[1]V, inciso o) (OP)'!O309</f>
        <v>AGNESI</v>
      </c>
      <c r="M617" s="6" t="s">
        <v>3238</v>
      </c>
      <c r="N617" s="6" t="str">
        <f>'[1]V, inciso o) (OP)'!Q309</f>
        <v>SLC090211283</v>
      </c>
      <c r="O617" s="11">
        <f t="shared" si="16"/>
        <v>650126.87</v>
      </c>
      <c r="P617" s="11">
        <v>175418.29</v>
      </c>
      <c r="Q617" s="7" t="s">
        <v>1130</v>
      </c>
      <c r="R617" s="11">
        <f>H617/403</f>
        <v>1613.2180397022332</v>
      </c>
      <c r="S617" s="7" t="s">
        <v>41</v>
      </c>
      <c r="T617" s="12">
        <v>12588</v>
      </c>
      <c r="U617" s="13" t="s">
        <v>42</v>
      </c>
      <c r="V617" s="43" t="s">
        <v>43</v>
      </c>
      <c r="W617" s="10">
        <f>'[1]V, inciso o) (OP)'!AD309</f>
        <v>43073</v>
      </c>
      <c r="X617" s="10">
        <f>'[1]V, inciso o) (OP)'!AE309</f>
        <v>43115</v>
      </c>
      <c r="Y617" s="7" t="s">
        <v>599</v>
      </c>
      <c r="Z617" s="7" t="s">
        <v>307</v>
      </c>
      <c r="AA617" s="7" t="s">
        <v>61</v>
      </c>
      <c r="AB617" s="21" t="s">
        <v>2319</v>
      </c>
      <c r="AC617" s="6" t="s">
        <v>2438</v>
      </c>
      <c r="AD617" s="6"/>
    </row>
    <row r="618" spans="1:30" ht="69.95" customHeight="1">
      <c r="A618" s="34">
        <v>359</v>
      </c>
      <c r="B618" s="7">
        <v>2017</v>
      </c>
      <c r="C618" s="7" t="s">
        <v>62</v>
      </c>
      <c r="D618" s="6" t="str">
        <f>'[1]V, inciso o) (OP)'!C310</f>
        <v>DOPI-MUN-RM-PAV-AD-359-2017</v>
      </c>
      <c r="E618" s="10">
        <f>'[1]V, inciso o) (OP)'!V310</f>
        <v>43080</v>
      </c>
      <c r="F618" s="6" t="str">
        <f>'[1]V, inciso o) (OP)'!AA310</f>
        <v>Obra complementaria para la pavimentación con concreto hidráulico en la calle Ing. Alberto Mora López de Elote a Ing. Alfonso Padilla, en la colonia La Mesa Colorada, en el municipio de Zapopan, Jalisco.</v>
      </c>
      <c r="G618" s="6" t="s">
        <v>63</v>
      </c>
      <c r="H618" s="25">
        <v>1202354.8700000001</v>
      </c>
      <c r="I618" s="6" t="s">
        <v>675</v>
      </c>
      <c r="J618" s="6" t="str">
        <f>'[1]V, inciso o) (OP)'!M310</f>
        <v>JAVIER</v>
      </c>
      <c r="K618" s="6" t="str">
        <f>'[1]V, inciso o) (OP)'!N310</f>
        <v>CAÑEDO</v>
      </c>
      <c r="L618" s="6" t="str">
        <f>'[1]V, inciso o) (OP)'!O310</f>
        <v>ORTEGA</v>
      </c>
      <c r="M618" s="6" t="s">
        <v>3159</v>
      </c>
      <c r="N618" s="6" t="str">
        <f>'[1]V, inciso o) (OP)'!Q310</f>
        <v>CTO061116F61</v>
      </c>
      <c r="O618" s="11">
        <f t="shared" si="16"/>
        <v>1202354.8700000001</v>
      </c>
      <c r="P618" s="11">
        <v>807113.72</v>
      </c>
      <c r="Q618" s="7" t="s">
        <v>1131</v>
      </c>
      <c r="R618" s="11">
        <f>H618/896</f>
        <v>1341.9139174107145</v>
      </c>
      <c r="S618" s="7" t="s">
        <v>41</v>
      </c>
      <c r="T618" s="12">
        <v>423</v>
      </c>
      <c r="U618" s="13" t="s">
        <v>42</v>
      </c>
      <c r="V618" s="43" t="s">
        <v>43</v>
      </c>
      <c r="W618" s="10">
        <f>'[1]V, inciso o) (OP)'!AD310</f>
        <v>43080</v>
      </c>
      <c r="X618" s="10">
        <f>'[1]V, inciso o) (OP)'!AE310</f>
        <v>43146</v>
      </c>
      <c r="Y618" s="7" t="s">
        <v>345</v>
      </c>
      <c r="Z618" s="7" t="s">
        <v>346</v>
      </c>
      <c r="AA618" s="7" t="s">
        <v>347</v>
      </c>
      <c r="AB618" s="21" t="s">
        <v>2760</v>
      </c>
      <c r="AC618" s="6" t="s">
        <v>2438</v>
      </c>
      <c r="AD618" s="6"/>
    </row>
    <row r="619" spans="1:30" ht="69.95" customHeight="1">
      <c r="A619" s="34">
        <v>360</v>
      </c>
      <c r="B619" s="7">
        <v>2017</v>
      </c>
      <c r="C619" s="7" t="s">
        <v>62</v>
      </c>
      <c r="D619" s="6" t="str">
        <f>'[1]V, inciso o) (OP)'!C311</f>
        <v>DOPI-MUN-RM-BAN-AD-360-2017</v>
      </c>
      <c r="E619" s="10">
        <f>'[1]V, inciso o) (OP)'!V311</f>
        <v>43031</v>
      </c>
      <c r="F619" s="6" t="str">
        <f>'[1]V, inciso o) (OP)'!AA311</f>
        <v>Obra complementaria de peatonalización en el frente 1 de la rehabilitación de la Av. Dr. Ángel Leaño, Tramo Zona de Nixticuitl, municipio de Zapopan, Jalisco.</v>
      </c>
      <c r="G619" s="6" t="s">
        <v>63</v>
      </c>
      <c r="H619" s="25">
        <v>1250847.24</v>
      </c>
      <c r="I619" s="6" t="s">
        <v>696</v>
      </c>
      <c r="J619" s="6" t="str">
        <f>'[1]V, inciso o) (OP)'!M311</f>
        <v>GABRIELA CECILIA</v>
      </c>
      <c r="K619" s="6" t="str">
        <f>'[1]V, inciso o) (OP)'!N311</f>
        <v xml:space="preserve">RUÍZ  </v>
      </c>
      <c r="L619" s="6" t="str">
        <f>'[1]V, inciso o) (OP)'!O311</f>
        <v>HERNÁNDEZ</v>
      </c>
      <c r="M619" s="6" t="s">
        <v>2260</v>
      </c>
      <c r="N619" s="6" t="str">
        <f>'[1]V, inciso o) (OP)'!Q311</f>
        <v>CTG070803966</v>
      </c>
      <c r="O619" s="11">
        <f t="shared" si="16"/>
        <v>1250847.24</v>
      </c>
      <c r="P619" s="11">
        <v>1118848.23</v>
      </c>
      <c r="Q619" s="7" t="s">
        <v>1132</v>
      </c>
      <c r="R619" s="11">
        <f>H619/625</f>
        <v>2001.3555839999999</v>
      </c>
      <c r="S619" s="7" t="s">
        <v>41</v>
      </c>
      <c r="T619" s="12">
        <v>36842</v>
      </c>
      <c r="U619" s="13" t="s">
        <v>42</v>
      </c>
      <c r="V619" s="43" t="s">
        <v>43</v>
      </c>
      <c r="W619" s="10">
        <f>'[1]V, inciso o) (OP)'!AD311</f>
        <v>43031</v>
      </c>
      <c r="X619" s="10">
        <f>'[1]V, inciso o) (OP)'!AE311</f>
        <v>43084</v>
      </c>
      <c r="Y619" s="7" t="s">
        <v>1133</v>
      </c>
      <c r="Z619" s="7" t="s">
        <v>1134</v>
      </c>
      <c r="AA619" s="7" t="s">
        <v>311</v>
      </c>
      <c r="AB619" s="21" t="s">
        <v>2320</v>
      </c>
      <c r="AC619" s="6" t="s">
        <v>2438</v>
      </c>
      <c r="AD619" s="6"/>
    </row>
    <row r="620" spans="1:30" ht="69.95" customHeight="1">
      <c r="A620" s="34">
        <v>361</v>
      </c>
      <c r="B620" s="7">
        <v>2017</v>
      </c>
      <c r="C620" s="7" t="s">
        <v>62</v>
      </c>
      <c r="D620" s="6" t="str">
        <f>'[1]V, inciso o) (OP)'!C312</f>
        <v>DOPI-MUN-RM-PAV-AD-361-2017</v>
      </c>
      <c r="E620" s="10">
        <f>'[1]V, inciso o) (OP)'!V312</f>
        <v>43033</v>
      </c>
      <c r="F620" s="6" t="str">
        <f>'[1]V, inciso o) (OP)'!AA312</f>
        <v>Pavimentación con concreto hidráulico, incluye: drenaje sanitario, banquetas, peatonalización, señalamiento y obras complementarias en la calle Navarro Rosas de la Abel Salgado al Arroyo, colonia Agua Fría, en el municipio de Zapopan, Jalisco.</v>
      </c>
      <c r="G620" s="6" t="s">
        <v>63</v>
      </c>
      <c r="H620" s="25">
        <v>1002350.44</v>
      </c>
      <c r="I620" s="6" t="s">
        <v>1135</v>
      </c>
      <c r="J620" s="6" t="str">
        <f>'[1]V, inciso o) (OP)'!M312</f>
        <v>SERGIO ALBERTO</v>
      </c>
      <c r="K620" s="6" t="str">
        <f>'[1]V, inciso o) (OP)'!N312</f>
        <v>BAYLON</v>
      </c>
      <c r="L620" s="6" t="str">
        <f>'[1]V, inciso o) (OP)'!O312</f>
        <v>MORENO</v>
      </c>
      <c r="M620" s="6" t="s">
        <v>1683</v>
      </c>
      <c r="N620" s="6" t="str">
        <f>'[1]V, inciso o) (OP)'!Q312</f>
        <v>EEC9909173A7</v>
      </c>
      <c r="O620" s="11">
        <f t="shared" si="16"/>
        <v>1002350.44</v>
      </c>
      <c r="P620" s="11">
        <v>993430.02999999991</v>
      </c>
      <c r="Q620" s="7" t="s">
        <v>872</v>
      </c>
      <c r="R620" s="11">
        <f>H620/1620</f>
        <v>618.73483950617276</v>
      </c>
      <c r="S620" s="7" t="s">
        <v>41</v>
      </c>
      <c r="T620" s="12">
        <v>891</v>
      </c>
      <c r="U620" s="13" t="s">
        <v>42</v>
      </c>
      <c r="V620" s="43" t="s">
        <v>43</v>
      </c>
      <c r="W620" s="10">
        <f>'[1]V, inciso o) (OP)'!AD312</f>
        <v>43033</v>
      </c>
      <c r="X620" s="10">
        <f>'[1]V, inciso o) (OP)'!AE312</f>
        <v>43089</v>
      </c>
      <c r="Y620" s="7" t="s">
        <v>753</v>
      </c>
      <c r="Z620" s="7" t="s">
        <v>827</v>
      </c>
      <c r="AA620" s="7" t="s">
        <v>755</v>
      </c>
      <c r="AB620" s="21" t="s">
        <v>2321</v>
      </c>
      <c r="AC620" s="6" t="s">
        <v>2438</v>
      </c>
      <c r="AD620" s="6"/>
    </row>
    <row r="621" spans="1:30" ht="69.95" customHeight="1">
      <c r="A621" s="34">
        <v>362</v>
      </c>
      <c r="B621" s="7">
        <v>2017</v>
      </c>
      <c r="C621" s="7" t="s">
        <v>62</v>
      </c>
      <c r="D621" s="6" t="str">
        <f>'[1]V, inciso o) (OP)'!C313</f>
        <v>DOPI-MUN-RM-PAV-AD-362-2017</v>
      </c>
      <c r="E621" s="10">
        <f>'[1]V, inciso o) (OP)'!V313</f>
        <v>43080</v>
      </c>
      <c r="F621" s="6" t="str">
        <f>'[1]V, inciso o) (OP)'!AA313</f>
        <v>Pavimentación con concreto hidráulico, incluye: drenaje sanitario, banquetas, peatonalización, señalamiento y obras complementarias en la calle Canal, colonia Agua Fría, en el municipio de Zapopan, Jalisco, primera etapa.</v>
      </c>
      <c r="G621" s="6" t="s">
        <v>63</v>
      </c>
      <c r="H621" s="25">
        <v>1603555.44</v>
      </c>
      <c r="I621" s="6" t="s">
        <v>1135</v>
      </c>
      <c r="J621" s="6" t="str">
        <f>'[1]V, inciso o) (OP)'!M313</f>
        <v>CLARISSA GABRIELA</v>
      </c>
      <c r="K621" s="6" t="str">
        <f>'[1]V, inciso o) (OP)'!N313</f>
        <v>VALDEZ</v>
      </c>
      <c r="L621" s="6" t="str">
        <f>'[1]V, inciso o) (OP)'!O313</f>
        <v>MANJARREZ</v>
      </c>
      <c r="M621" s="6" t="s">
        <v>2033</v>
      </c>
      <c r="N621" s="6" t="str">
        <f>'[1]V, inciso o) (OP)'!Q313</f>
        <v>TGE101215JI6</v>
      </c>
      <c r="O621" s="11">
        <f t="shared" si="16"/>
        <v>1603555.44</v>
      </c>
      <c r="P621" s="11">
        <v>1590586.21</v>
      </c>
      <c r="Q621" s="7" t="s">
        <v>1136</v>
      </c>
      <c r="R621" s="11">
        <f>H621/1890</f>
        <v>848.44203174603172</v>
      </c>
      <c r="S621" s="7" t="s">
        <v>41</v>
      </c>
      <c r="T621" s="12">
        <v>891</v>
      </c>
      <c r="U621" s="13" t="s">
        <v>42</v>
      </c>
      <c r="V621" s="43" t="s">
        <v>43</v>
      </c>
      <c r="W621" s="10">
        <f>'[1]V, inciso o) (OP)'!AD313</f>
        <v>43080</v>
      </c>
      <c r="X621" s="10">
        <f>'[1]V, inciso o) (OP)'!AE313</f>
        <v>43146</v>
      </c>
      <c r="Y621" s="7" t="s">
        <v>753</v>
      </c>
      <c r="Z621" s="7" t="s">
        <v>827</v>
      </c>
      <c r="AA621" s="7" t="s">
        <v>755</v>
      </c>
      <c r="AB621" s="21" t="s">
        <v>2322</v>
      </c>
      <c r="AC621" s="6" t="s">
        <v>2438</v>
      </c>
      <c r="AD621" s="6"/>
    </row>
    <row r="622" spans="1:30" ht="69.95" customHeight="1">
      <c r="A622" s="34">
        <v>363</v>
      </c>
      <c r="B622" s="7">
        <v>2017</v>
      </c>
      <c r="C622" s="7" t="s">
        <v>62</v>
      </c>
      <c r="D622" s="6" t="str">
        <f>'[1]V, inciso o) (OP)'!C314</f>
        <v>DOPI-MUN-RM-SERV-AD-363-2017</v>
      </c>
      <c r="E622" s="10">
        <f>'[1]V, inciso o) (OP)'!V314</f>
        <v>43021</v>
      </c>
      <c r="F622" s="6" t="str">
        <f>'[1]V, inciso o) (OP)'!AA314</f>
        <v>Control de calidad de diferentes obras 2017 del municipio de Zapopan, Jalisco, etapa 4.</v>
      </c>
      <c r="G622" s="6" t="s">
        <v>63</v>
      </c>
      <c r="H622" s="25">
        <v>355235.68</v>
      </c>
      <c r="I622" s="6" t="s">
        <v>1317</v>
      </c>
      <c r="J622" s="6" t="str">
        <f>'[1]V, inciso o) (OP)'!M314</f>
        <v>RICARDO</v>
      </c>
      <c r="K622" s="6" t="str">
        <f>'[1]V, inciso o) (OP)'!N314</f>
        <v>MEZA</v>
      </c>
      <c r="L622" s="6" t="str">
        <f>'[1]V, inciso o) (OP)'!O314</f>
        <v>PONCE</v>
      </c>
      <c r="M622" s="6" t="s">
        <v>1914</v>
      </c>
      <c r="N622" s="6" t="str">
        <f>'[1]V, inciso o) (OP)'!Q314</f>
        <v>CCM1405243C4</v>
      </c>
      <c r="O622" s="11">
        <f t="shared" si="16"/>
        <v>355235.68</v>
      </c>
      <c r="P622" s="11">
        <f>O622</f>
        <v>355235.68</v>
      </c>
      <c r="Q622" s="7" t="s">
        <v>120</v>
      </c>
      <c r="R622" s="11" t="s">
        <v>120</v>
      </c>
      <c r="S622" s="7" t="s">
        <v>121</v>
      </c>
      <c r="T622" s="12" t="s">
        <v>121</v>
      </c>
      <c r="U622" s="13" t="s">
        <v>42</v>
      </c>
      <c r="V622" s="7" t="s">
        <v>373</v>
      </c>
      <c r="W622" s="10">
        <f>'[1]V, inciso o) (OP)'!AD314</f>
        <v>43024</v>
      </c>
      <c r="X622" s="10">
        <f>'[1]V, inciso o) (OP)'!AE314</f>
        <v>43100</v>
      </c>
      <c r="Y622" s="7" t="s">
        <v>521</v>
      </c>
      <c r="Z622" s="7" t="s">
        <v>522</v>
      </c>
      <c r="AA622" s="7" t="s">
        <v>523</v>
      </c>
      <c r="AB622" s="21" t="s">
        <v>2323</v>
      </c>
      <c r="AC622" s="6" t="s">
        <v>2438</v>
      </c>
      <c r="AD622" s="6"/>
    </row>
    <row r="623" spans="1:30" ht="69.95" customHeight="1">
      <c r="A623" s="34">
        <v>364</v>
      </c>
      <c r="B623" s="7">
        <v>2017</v>
      </c>
      <c r="C623" s="7" t="s">
        <v>62</v>
      </c>
      <c r="D623" s="6" t="str">
        <f>'[1]V, inciso o) (OP)'!C315</f>
        <v>DOPI-MUN-RM-PAV-AD-364-2017</v>
      </c>
      <c r="E623" s="10">
        <f>'[1]V, inciso o) (OP)'!V315</f>
        <v>43084</v>
      </c>
      <c r="F623" s="6" t="str">
        <f>'[1]V, inciso o) (OP)'!AA315</f>
        <v>Pavimentación con concreto hidráulico, incluye: banquetas, peatonalización, señalamiento y obras complementarias en la calle Santa Mercedez de la Av. Jesús a San Felipe, colonia Tuzania Ejidal, , en el municipio de Zapopan, Jalisco, frente 1.</v>
      </c>
      <c r="G623" s="6" t="s">
        <v>63</v>
      </c>
      <c r="H623" s="25">
        <v>1698556.36</v>
      </c>
      <c r="I623" s="6" t="s">
        <v>1137</v>
      </c>
      <c r="J623" s="6" t="str">
        <f>'[1]V, inciso o) (OP)'!M315</f>
        <v>J. JESÚS</v>
      </c>
      <c r="K623" s="6" t="str">
        <f>'[1]V, inciso o) (OP)'!N315</f>
        <v>NUÑEZ</v>
      </c>
      <c r="L623" s="6" t="str">
        <f>'[1]V, inciso o) (OP)'!O315</f>
        <v>GUTIÉRREZ</v>
      </c>
      <c r="M623" s="6" t="s">
        <v>3239</v>
      </c>
      <c r="N623" s="6" t="str">
        <f>'[1]V, inciso o) (OP)'!Q315</f>
        <v>CVC110114429</v>
      </c>
      <c r="O623" s="11">
        <f t="shared" si="16"/>
        <v>1698556.36</v>
      </c>
      <c r="P623" s="11">
        <v>1698556.23</v>
      </c>
      <c r="Q623" s="7" t="s">
        <v>1138</v>
      </c>
      <c r="R623" s="11">
        <f>H623/2005</f>
        <v>847.16027930174573</v>
      </c>
      <c r="S623" s="7" t="s">
        <v>41</v>
      </c>
      <c r="T623" s="12">
        <v>1256</v>
      </c>
      <c r="U623" s="13" t="s">
        <v>42</v>
      </c>
      <c r="V623" s="43" t="s">
        <v>43</v>
      </c>
      <c r="W623" s="10">
        <f>'[1]V, inciso o) (OP)'!AD315</f>
        <v>43084</v>
      </c>
      <c r="X623" s="10">
        <f>'[1]V, inciso o) (OP)'!AE315</f>
        <v>43203</v>
      </c>
      <c r="Y623" s="7" t="s">
        <v>360</v>
      </c>
      <c r="Z623" s="7" t="s">
        <v>361</v>
      </c>
      <c r="AA623" s="7" t="s">
        <v>362</v>
      </c>
      <c r="AB623" s="21" t="s">
        <v>2324</v>
      </c>
      <c r="AC623" s="6" t="s">
        <v>2438</v>
      </c>
      <c r="AD623" s="6"/>
    </row>
    <row r="624" spans="1:30" ht="69.95" customHeight="1">
      <c r="A624" s="34">
        <v>366</v>
      </c>
      <c r="B624" s="7">
        <v>2017</v>
      </c>
      <c r="C624" s="7" t="s">
        <v>62</v>
      </c>
      <c r="D624" s="6" t="str">
        <f>'[1]V, inciso o) (OP)'!C316</f>
        <v>DOPI-MUN-RM-DS-AD-366-2017</v>
      </c>
      <c r="E624" s="10">
        <f>'[1]V, inciso o) (OP)'!V316</f>
        <v>43084</v>
      </c>
      <c r="F624" s="6" t="str">
        <f>'[1]V, inciso o) (OP)'!AA316</f>
        <v>Colector de aguas residuales, descargas sanitarias y línea de agua potable en la colonia Tuzania Ejidal, municipio de Zapopan, Jalisco, primera etapa Frente 1.</v>
      </c>
      <c r="G624" s="6" t="s">
        <v>63</v>
      </c>
      <c r="H624" s="25">
        <v>1650236.98</v>
      </c>
      <c r="I624" s="6" t="s">
        <v>1137</v>
      </c>
      <c r="J624" s="6" t="str">
        <f>'[1]V, inciso o) (OP)'!M316</f>
        <v xml:space="preserve">RODOLFO </v>
      </c>
      <c r="K624" s="6" t="str">
        <f>'[1]V, inciso o) (OP)'!N316</f>
        <v xml:space="preserve">VELAZQUEZ </v>
      </c>
      <c r="L624" s="6" t="str">
        <f>'[1]V, inciso o) (OP)'!O316</f>
        <v>ORDOÑEZ</v>
      </c>
      <c r="M624" s="6" t="s">
        <v>3065</v>
      </c>
      <c r="N624" s="6" t="str">
        <f>'[1]V, inciso o) (OP)'!Q316</f>
        <v>VIE110125RL4</v>
      </c>
      <c r="O624" s="11">
        <f t="shared" si="16"/>
        <v>1650236.98</v>
      </c>
      <c r="P624" s="11">
        <v>1285150.6600000001</v>
      </c>
      <c r="Q624" s="7" t="s">
        <v>1139</v>
      </c>
      <c r="R624" s="11">
        <f>H624/290</f>
        <v>5690.4723448275863</v>
      </c>
      <c r="S624" s="7" t="s">
        <v>41</v>
      </c>
      <c r="T624" s="12">
        <v>224</v>
      </c>
      <c r="U624" s="13" t="s">
        <v>42</v>
      </c>
      <c r="V624" s="43" t="s">
        <v>43</v>
      </c>
      <c r="W624" s="10">
        <f>'[1]V, inciso o) (OP)'!AD316</f>
        <v>43084</v>
      </c>
      <c r="X624" s="10">
        <f>'[1]V, inciso o) (OP)'!AE316</f>
        <v>43203</v>
      </c>
      <c r="Y624" s="7" t="s">
        <v>360</v>
      </c>
      <c r="Z624" s="7" t="s">
        <v>361</v>
      </c>
      <c r="AA624" s="7" t="s">
        <v>362</v>
      </c>
      <c r="AB624" s="21" t="s">
        <v>2325</v>
      </c>
      <c r="AC624" s="6" t="s">
        <v>2438</v>
      </c>
      <c r="AD624" s="6"/>
    </row>
    <row r="625" spans="1:30" ht="69.95" customHeight="1">
      <c r="A625" s="34">
        <v>369</v>
      </c>
      <c r="B625" s="7">
        <v>2017</v>
      </c>
      <c r="C625" s="7" t="s">
        <v>62</v>
      </c>
      <c r="D625" s="6" t="str">
        <f>'[1]V, inciso o) (OP)'!C317</f>
        <v>DOPI-MUN-RM-MOV-AD-369-2017</v>
      </c>
      <c r="E625" s="10">
        <f>'[1]V, inciso o) (OP)'!V317</f>
        <v>43084</v>
      </c>
      <c r="F625" s="6" t="str">
        <f>'[1]V, inciso o) (OP)'!AA317</f>
        <v>Señalización vertical y horizontal en diferentes zonas del municipio de Zapopan, Jalisco, frente 1.</v>
      </c>
      <c r="G625" s="6" t="s">
        <v>63</v>
      </c>
      <c r="H625" s="25">
        <v>310538.7</v>
      </c>
      <c r="I625" s="6" t="s">
        <v>1317</v>
      </c>
      <c r="J625" s="6" t="str">
        <f>'[1]V, inciso o) (OP)'!M317</f>
        <v>JORGE ALBERTO</v>
      </c>
      <c r="K625" s="6" t="str">
        <f>'[1]V, inciso o) (OP)'!N317</f>
        <v>MENA</v>
      </c>
      <c r="L625" s="6" t="str">
        <f>'[1]V, inciso o) (OP)'!O317</f>
        <v>ADAMES</v>
      </c>
      <c r="M625" s="6" t="s">
        <v>3240</v>
      </c>
      <c r="N625" s="6" t="str">
        <f>'[1]V, inciso o) (OP)'!Q317</f>
        <v>DIV010905510</v>
      </c>
      <c r="O625" s="11">
        <f t="shared" si="16"/>
        <v>310538.7</v>
      </c>
      <c r="P625" s="11">
        <v>287688.23</v>
      </c>
      <c r="Q625" s="7" t="s">
        <v>120</v>
      </c>
      <c r="R625" s="11" t="s">
        <v>120</v>
      </c>
      <c r="S625" s="7" t="s">
        <v>121</v>
      </c>
      <c r="T625" s="12" t="s">
        <v>121</v>
      </c>
      <c r="U625" s="13" t="s">
        <v>42</v>
      </c>
      <c r="V625" s="43" t="s">
        <v>43</v>
      </c>
      <c r="W625" s="10">
        <f>'[1]V, inciso o) (OP)'!AD317</f>
        <v>43084</v>
      </c>
      <c r="X625" s="10">
        <f>'[1]V, inciso o) (OP)'!AE317</f>
        <v>43203</v>
      </c>
      <c r="Y625" s="7" t="s">
        <v>521</v>
      </c>
      <c r="Z625" s="7" t="s">
        <v>522</v>
      </c>
      <c r="AA625" s="7" t="s">
        <v>523</v>
      </c>
      <c r="AB625" s="21" t="s">
        <v>2326</v>
      </c>
      <c r="AC625" s="6" t="s">
        <v>2438</v>
      </c>
      <c r="AD625" s="6"/>
    </row>
    <row r="626" spans="1:30" ht="69.95" customHeight="1">
      <c r="A626" s="34">
        <v>370</v>
      </c>
      <c r="B626" s="7">
        <v>2017</v>
      </c>
      <c r="C626" s="7" t="s">
        <v>62</v>
      </c>
      <c r="D626" s="6" t="str">
        <f>'[1]V, inciso o) (OP)'!C318</f>
        <v>DOPI-MUN-RM-IM-AD-370-2017</v>
      </c>
      <c r="E626" s="10">
        <f>'[1]V, inciso o) (OP)'!V318</f>
        <v>43042</v>
      </c>
      <c r="F626" s="6" t="str">
        <f>'[1]V, inciso o) (OP)'!AA318</f>
        <v>Cimentación y estructura para la rampa de accesibilidad al CRI Centro de Autismo, ubicado en Av. Juan Pablo II, colonia Fovisste, municipio de Zapopan, Jalisco.</v>
      </c>
      <c r="G626" s="6" t="s">
        <v>63</v>
      </c>
      <c r="H626" s="25">
        <v>1774643.9000000001</v>
      </c>
      <c r="I626" s="6" t="s">
        <v>667</v>
      </c>
      <c r="J626" s="6" t="str">
        <f>'[1]V, inciso o) (OP)'!M318</f>
        <v>JOSÉ MANUEL</v>
      </c>
      <c r="K626" s="6" t="str">
        <f>'[1]V, inciso o) (OP)'!N318</f>
        <v>GÓMEZ</v>
      </c>
      <c r="L626" s="6" t="str">
        <f>'[1]V, inciso o) (OP)'!O318</f>
        <v>CASTELLANOS</v>
      </c>
      <c r="M626" s="6" t="s">
        <v>3241</v>
      </c>
      <c r="N626" s="6" t="str">
        <f>'[1]V, inciso o) (OP)'!Q318</f>
        <v>GDI020122D2A</v>
      </c>
      <c r="O626" s="11">
        <f t="shared" si="16"/>
        <v>1774643.9000000001</v>
      </c>
      <c r="P626" s="11">
        <f>O626</f>
        <v>1774643.9000000001</v>
      </c>
      <c r="Q626" s="7" t="s">
        <v>1140</v>
      </c>
      <c r="R626" s="11">
        <f>H626/180</f>
        <v>9859.1327777777788</v>
      </c>
      <c r="S626" s="7" t="s">
        <v>41</v>
      </c>
      <c r="T626" s="12">
        <v>3566</v>
      </c>
      <c r="U626" s="13" t="s">
        <v>42</v>
      </c>
      <c r="V626" s="7" t="s">
        <v>373</v>
      </c>
      <c r="W626" s="10">
        <f>'[1]V, inciso o) (OP)'!AD318</f>
        <v>43045</v>
      </c>
      <c r="X626" s="10">
        <f>'[1]V, inciso o) (OP)'!AE318</f>
        <v>43159</v>
      </c>
      <c r="Y626" s="7" t="s">
        <v>429</v>
      </c>
      <c r="Z626" s="7" t="s">
        <v>72</v>
      </c>
      <c r="AA626" s="7" t="s">
        <v>557</v>
      </c>
      <c r="AB626" s="21" t="s">
        <v>2327</v>
      </c>
      <c r="AC626" s="6" t="s">
        <v>2438</v>
      </c>
      <c r="AD626" s="6"/>
    </row>
    <row r="627" spans="1:30" ht="69.95" customHeight="1">
      <c r="A627" s="34">
        <v>371</v>
      </c>
      <c r="B627" s="7">
        <v>2017</v>
      </c>
      <c r="C627" s="7" t="s">
        <v>62</v>
      </c>
      <c r="D627" s="6" t="str">
        <f>'[1]V, inciso o) (OP)'!C319</f>
        <v>DOPI-MUN-RM-IM-AD-371-2017</v>
      </c>
      <c r="E627" s="10">
        <f>'[1]V, inciso o) (OP)'!V319</f>
        <v>43070</v>
      </c>
      <c r="F627" s="6" t="str">
        <f>'[1]V, inciso o) (OP)'!AA319</f>
        <v>Delimitación con malla ciclónica en terrenos afectados por la ampliación de la carretera La Venta - Santa Lucia, municipio de Zapopan, Jalisco.</v>
      </c>
      <c r="G627" s="6" t="s">
        <v>63</v>
      </c>
      <c r="H627" s="25">
        <v>309258.36</v>
      </c>
      <c r="I627" s="6" t="s">
        <v>1141</v>
      </c>
      <c r="J627" s="6" t="str">
        <f>'[1]V, inciso o) (OP)'!M319</f>
        <v>ARTURO RAFAEL</v>
      </c>
      <c r="K627" s="6" t="str">
        <f>'[1]V, inciso o) (OP)'!N319</f>
        <v>SALAZAR</v>
      </c>
      <c r="L627" s="6" t="str">
        <f>'[1]V, inciso o) (OP)'!O319</f>
        <v>MARTÍN DEL CAMPO</v>
      </c>
      <c r="M627" s="6" t="s">
        <v>3242</v>
      </c>
      <c r="N627" s="6" t="str">
        <f>'[1]V, inciso o) (OP)'!Q319</f>
        <v>KCO030922UM6</v>
      </c>
      <c r="O627" s="11">
        <f t="shared" si="16"/>
        <v>309258.36</v>
      </c>
      <c r="P627" s="11">
        <v>308389.88</v>
      </c>
      <c r="Q627" s="7" t="s">
        <v>1142</v>
      </c>
      <c r="R627" s="11">
        <f>H627/412</f>
        <v>750.62708737864079</v>
      </c>
      <c r="S627" s="7" t="s">
        <v>121</v>
      </c>
      <c r="T627" s="12" t="s">
        <v>121</v>
      </c>
      <c r="U627" s="13" t="s">
        <v>42</v>
      </c>
      <c r="V627" s="7" t="s">
        <v>43</v>
      </c>
      <c r="W627" s="10">
        <f>'[1]V, inciso o) (OP)'!AD319</f>
        <v>43070</v>
      </c>
      <c r="X627" s="10">
        <f>'[1]V, inciso o) (OP)'!AE319</f>
        <v>43100</v>
      </c>
      <c r="Y627" s="7" t="s">
        <v>394</v>
      </c>
      <c r="Z627" s="7" t="s">
        <v>279</v>
      </c>
      <c r="AA627" s="7" t="s">
        <v>78</v>
      </c>
      <c r="AB627" s="21" t="s">
        <v>2328</v>
      </c>
      <c r="AC627" s="6" t="s">
        <v>2438</v>
      </c>
      <c r="AD627" s="6"/>
    </row>
    <row r="628" spans="1:30" ht="69.95" customHeight="1">
      <c r="A628" s="34">
        <v>372</v>
      </c>
      <c r="B628" s="7">
        <v>2017</v>
      </c>
      <c r="C628" s="7" t="s">
        <v>62</v>
      </c>
      <c r="D628" s="6" t="str">
        <f>'[1]V, inciso o) (OP)'!C320</f>
        <v>DOPI-MUN-RM-ID-AD-372-2017</v>
      </c>
      <c r="E628" s="10">
        <f>'[1]V, inciso o) (OP)'!V320</f>
        <v>43056</v>
      </c>
      <c r="F628" s="6" t="str">
        <f>'[1]V, inciso o) (OP)'!AA320</f>
        <v>Acometida eléctrica y obra complementaria para la terminación de la Unidad Deportiva Paseos del Briseño municipio de Zapopan, Jalisco.</v>
      </c>
      <c r="G628" s="6" t="s">
        <v>63</v>
      </c>
      <c r="H628" s="25">
        <v>905532.5</v>
      </c>
      <c r="I628" s="6" t="s">
        <v>1143</v>
      </c>
      <c r="J628" s="6" t="str">
        <f>'[1]V, inciso o) (OP)'!M320</f>
        <v>PAOLA ALEJANDRA</v>
      </c>
      <c r="K628" s="6" t="str">
        <f>'[1]V, inciso o) (OP)'!N320</f>
        <v>DIAZ</v>
      </c>
      <c r="L628" s="6" t="str">
        <f>'[1]V, inciso o) (OP)'!O320</f>
        <v>RUIZ</v>
      </c>
      <c r="M628" s="6" t="s">
        <v>2133</v>
      </c>
      <c r="N628" s="6" t="str">
        <f>'[1]V, inciso o) (OP)'!Q320</f>
        <v>OCA080707FG8</v>
      </c>
      <c r="O628" s="11">
        <f t="shared" si="16"/>
        <v>905532.5</v>
      </c>
      <c r="P628" s="11">
        <v>905532.51</v>
      </c>
      <c r="Q628" s="7" t="s">
        <v>779</v>
      </c>
      <c r="R628" s="11">
        <f>H628/2492</f>
        <v>363.37580256821832</v>
      </c>
      <c r="S628" s="7" t="s">
        <v>41</v>
      </c>
      <c r="T628" s="12">
        <v>4159</v>
      </c>
      <c r="U628" s="13" t="s">
        <v>42</v>
      </c>
      <c r="V628" s="43" t="s">
        <v>43</v>
      </c>
      <c r="W628" s="10">
        <f>'[1]V, inciso o) (OP)'!AD320</f>
        <v>43060</v>
      </c>
      <c r="X628" s="10">
        <f>'[1]V, inciso o) (OP)'!AE320</f>
        <v>43115</v>
      </c>
      <c r="Y628" s="7" t="s">
        <v>1144</v>
      </c>
      <c r="Z628" s="7" t="s">
        <v>730</v>
      </c>
      <c r="AA628" s="7" t="s">
        <v>731</v>
      </c>
      <c r="AB628" s="21" t="s">
        <v>2329</v>
      </c>
      <c r="AC628" s="6" t="s">
        <v>2438</v>
      </c>
      <c r="AD628" s="6"/>
    </row>
    <row r="629" spans="1:30" ht="69.95" customHeight="1">
      <c r="A629" s="34">
        <v>373</v>
      </c>
      <c r="B629" s="7">
        <v>2017</v>
      </c>
      <c r="C629" s="7" t="s">
        <v>62</v>
      </c>
      <c r="D629" s="6" t="str">
        <f>'[1]V, inciso o) (OP)'!C321</f>
        <v>DOPI-MUN-RM-PROY-AD-373-2017</v>
      </c>
      <c r="E629" s="10">
        <f>'[1]V, inciso o) (OP)'!V321</f>
        <v>43042</v>
      </c>
      <c r="F629" s="6" t="str">
        <f>'[1]V, inciso o) (OP)'!AA321</f>
        <v>Elaboración de proyecto ejecutivo de la Unidad Deportiva Valle de los Molinos, municipio de Zapopan, Jalisco.</v>
      </c>
      <c r="G629" s="6" t="s">
        <v>63</v>
      </c>
      <c r="H629" s="25">
        <v>350254.74</v>
      </c>
      <c r="I629" s="6" t="s">
        <v>1145</v>
      </c>
      <c r="J629" s="6" t="str">
        <f>'[1]V, inciso o) (OP)'!M321</f>
        <v>RICARDO</v>
      </c>
      <c r="K629" s="6" t="str">
        <f>'[1]V, inciso o) (OP)'!N321</f>
        <v>GONZÁLEZ</v>
      </c>
      <c r="L629" s="6" t="str">
        <f>'[1]V, inciso o) (OP)'!O321</f>
        <v>CARRANZA</v>
      </c>
      <c r="M629" s="6" t="s">
        <v>3203</v>
      </c>
      <c r="N629" s="6" t="str">
        <f>'[1]V, inciso o) (OP)'!Q321</f>
        <v>GOCR801106234</v>
      </c>
      <c r="O629" s="11">
        <f t="shared" si="16"/>
        <v>350254.74</v>
      </c>
      <c r="P629" s="11">
        <v>350254.73</v>
      </c>
      <c r="Q629" s="7" t="s">
        <v>701</v>
      </c>
      <c r="R629" s="11">
        <f>H629</f>
        <v>350254.74</v>
      </c>
      <c r="S629" s="7" t="s">
        <v>121</v>
      </c>
      <c r="T629" s="12" t="s">
        <v>121</v>
      </c>
      <c r="U629" s="13" t="s">
        <v>42</v>
      </c>
      <c r="V629" s="43" t="s">
        <v>43</v>
      </c>
      <c r="W629" s="10">
        <f>'[1]V, inciso o) (OP)'!AD321</f>
        <v>43045</v>
      </c>
      <c r="X629" s="10">
        <f>'[1]V, inciso o) (OP)'!AE321</f>
        <v>43100</v>
      </c>
      <c r="Y629" s="7" t="s">
        <v>680</v>
      </c>
      <c r="Z629" s="7" t="s">
        <v>681</v>
      </c>
      <c r="AA629" s="7" t="s">
        <v>132</v>
      </c>
      <c r="AB629" s="21" t="s">
        <v>2330</v>
      </c>
      <c r="AC629" s="6" t="s">
        <v>2438</v>
      </c>
      <c r="AD629" s="6"/>
    </row>
    <row r="630" spans="1:30" ht="69.95" customHeight="1">
      <c r="A630" s="34">
        <v>374</v>
      </c>
      <c r="B630" s="7">
        <v>2017</v>
      </c>
      <c r="C630" s="7" t="s">
        <v>62</v>
      </c>
      <c r="D630" s="6" t="str">
        <f>'[1]V, inciso o) (OP)'!C322</f>
        <v>DOPI-MUN-RM-SERV-AD-374-2017</v>
      </c>
      <c r="E630" s="10">
        <f>'[1]V, inciso o) (OP)'!V322</f>
        <v>43021</v>
      </c>
      <c r="F630" s="6" t="str">
        <f>'[1]V, inciso o) (OP)'!AA322</f>
        <v>Estudios de mecánica de suelos y diseño de pavimentos de diferentes obras 2017 del municipio de Zapopan, Jalisco, etapa 2.</v>
      </c>
      <c r="G630" s="6" t="s">
        <v>63</v>
      </c>
      <c r="H630" s="25">
        <v>910147.98</v>
      </c>
      <c r="I630" s="6" t="s">
        <v>1317</v>
      </c>
      <c r="J630" s="6" t="str">
        <f>'[1]V, inciso o) (OP)'!M322</f>
        <v>JOEL</v>
      </c>
      <c r="K630" s="6" t="str">
        <f>'[1]V, inciso o) (OP)'!N322</f>
        <v>ZULOAGA</v>
      </c>
      <c r="L630" s="6" t="str">
        <f>'[1]V, inciso o) (OP)'!O322</f>
        <v>ACEVES</v>
      </c>
      <c r="M630" s="6" t="s">
        <v>3208</v>
      </c>
      <c r="N630" s="6" t="str">
        <f>'[1]V, inciso o) (OP)'!Q322</f>
        <v>TSC100210E48</v>
      </c>
      <c r="O630" s="11">
        <f t="shared" si="16"/>
        <v>910147.98</v>
      </c>
      <c r="P630" s="11">
        <v>637322.06000000006</v>
      </c>
      <c r="Q630" s="7" t="s">
        <v>1146</v>
      </c>
      <c r="R630" s="11">
        <f>H630/38</f>
        <v>23951.262631578946</v>
      </c>
      <c r="S630" s="7" t="s">
        <v>121</v>
      </c>
      <c r="T630" s="12" t="s">
        <v>121</v>
      </c>
      <c r="U630" s="13" t="s">
        <v>42</v>
      </c>
      <c r="V630" s="43" t="s">
        <v>43</v>
      </c>
      <c r="W630" s="10">
        <f>'[1]V, inciso o) (OP)'!AD322</f>
        <v>43024</v>
      </c>
      <c r="X630" s="10">
        <f>'[1]V, inciso o) (OP)'!AE322</f>
        <v>43100</v>
      </c>
      <c r="Y630" s="7" t="s">
        <v>680</v>
      </c>
      <c r="Z630" s="7" t="s">
        <v>681</v>
      </c>
      <c r="AA630" s="7" t="s">
        <v>132</v>
      </c>
      <c r="AB630" s="21" t="s">
        <v>2331</v>
      </c>
      <c r="AC630" s="6" t="s">
        <v>2438</v>
      </c>
      <c r="AD630" s="6"/>
    </row>
    <row r="631" spans="1:30" ht="69.95" customHeight="1">
      <c r="A631" s="34">
        <v>375</v>
      </c>
      <c r="B631" s="7">
        <v>2017</v>
      </c>
      <c r="C631" s="7" t="s">
        <v>62</v>
      </c>
      <c r="D631" s="6" t="str">
        <f>'[1]V, inciso o) (OP)'!C323</f>
        <v>DOPI-MUN-RM-PROY-AD-375-2017</v>
      </c>
      <c r="E631" s="10">
        <f>'[1]V, inciso o) (OP)'!V323</f>
        <v>43050</v>
      </c>
      <c r="F631" s="6" t="str">
        <f>'[1]V, inciso o) (OP)'!AA323</f>
        <v>Diagnóstico, diseño y proyectos de infraestructura eléctrica 2017, segunda etapa, municipio de Zapopan, Jalisco.</v>
      </c>
      <c r="G631" s="6" t="s">
        <v>63</v>
      </c>
      <c r="H631" s="25">
        <v>925364.12</v>
      </c>
      <c r="I631" s="6" t="s">
        <v>1317</v>
      </c>
      <c r="J631" s="6" t="str">
        <f>'[1]V, inciso o) (OP)'!M323</f>
        <v xml:space="preserve">HÉCTOR ALEJANDRO </v>
      </c>
      <c r="K631" s="6" t="str">
        <f>'[1]V, inciso o) (OP)'!N323</f>
        <v xml:space="preserve">ORTEGA </v>
      </c>
      <c r="L631" s="6" t="str">
        <f>'[1]V, inciso o) (OP)'!O323</f>
        <v>ROSALES</v>
      </c>
      <c r="M631" s="6" t="s">
        <v>3094</v>
      </c>
      <c r="N631" s="6" t="str">
        <f>'[1]V, inciso o) (OP)'!Q323</f>
        <v>ISS920330811</v>
      </c>
      <c r="O631" s="11">
        <f t="shared" si="16"/>
        <v>925364.12</v>
      </c>
      <c r="P631" s="11">
        <v>925364.11</v>
      </c>
      <c r="Q631" s="7" t="s">
        <v>1147</v>
      </c>
      <c r="R631" s="11">
        <f>H631/46</f>
        <v>20116.611304347825</v>
      </c>
      <c r="S631" s="7" t="s">
        <v>121</v>
      </c>
      <c r="T631" s="12" t="s">
        <v>121</v>
      </c>
      <c r="U631" s="13" t="s">
        <v>42</v>
      </c>
      <c r="V631" s="43" t="s">
        <v>43</v>
      </c>
      <c r="W631" s="10">
        <f>'[1]V, inciso o) (OP)'!AD323</f>
        <v>43050</v>
      </c>
      <c r="X631" s="10">
        <f>'[1]V, inciso o) (OP)'!AE323</f>
        <v>43100</v>
      </c>
      <c r="Y631" s="7" t="s">
        <v>680</v>
      </c>
      <c r="Z631" s="7" t="s">
        <v>681</v>
      </c>
      <c r="AA631" s="7" t="s">
        <v>132</v>
      </c>
      <c r="AB631" s="21" t="s">
        <v>2332</v>
      </c>
      <c r="AC631" s="6" t="s">
        <v>2438</v>
      </c>
      <c r="AD631" s="6"/>
    </row>
    <row r="632" spans="1:30" ht="69.95" customHeight="1">
      <c r="A632" s="34">
        <v>376</v>
      </c>
      <c r="B632" s="7">
        <v>2017</v>
      </c>
      <c r="C632" s="7" t="s">
        <v>62</v>
      </c>
      <c r="D632" s="6" t="str">
        <f>'[1]V, inciso o) (OP)'!C324</f>
        <v>DOPI-MUN-RM-ELE-AD-376-2017</v>
      </c>
      <c r="E632" s="10">
        <f>'[1]V, inciso o) (OP)'!V324</f>
        <v>43050</v>
      </c>
      <c r="F632" s="6" t="str">
        <f>'[1]V, inciso o) (OP)'!AA324</f>
        <v>Trabajos complementarios de infraestructura eléctrica y de alumbrado público, frente 1, municipio de Zapopan, Jalisco</v>
      </c>
      <c r="G632" s="6" t="s">
        <v>63</v>
      </c>
      <c r="H632" s="25">
        <v>1203455.22</v>
      </c>
      <c r="I632" s="6" t="s">
        <v>1317</v>
      </c>
      <c r="J632" s="6" t="str">
        <f>'[1]V, inciso o) (OP)'!M324</f>
        <v>FAUSTO</v>
      </c>
      <c r="K632" s="6" t="str">
        <f>'[1]V, inciso o) (OP)'!N324</f>
        <v>GARNICA</v>
      </c>
      <c r="L632" s="6" t="str">
        <f>'[1]V, inciso o) (OP)'!O324</f>
        <v>PADILLA</v>
      </c>
      <c r="M632" s="6" t="s">
        <v>3090</v>
      </c>
      <c r="N632" s="6" t="str">
        <f>'[1]V, inciso o) (OP)'!Q324</f>
        <v>GAPF5912193V9</v>
      </c>
      <c r="O632" s="11">
        <f t="shared" si="16"/>
        <v>1203455.22</v>
      </c>
      <c r="P632" s="11">
        <v>1062999.0899999999</v>
      </c>
      <c r="Q632" s="7" t="s">
        <v>1148</v>
      </c>
      <c r="R632" s="11">
        <f>H632/692</f>
        <v>1739.0971387283237</v>
      </c>
      <c r="S632" s="7" t="s">
        <v>41</v>
      </c>
      <c r="T632" s="12">
        <v>3560</v>
      </c>
      <c r="U632" s="13" t="s">
        <v>42</v>
      </c>
      <c r="V632" s="43" t="s">
        <v>43</v>
      </c>
      <c r="W632" s="10">
        <f>'[1]V, inciso o) (OP)'!AD324</f>
        <v>43050</v>
      </c>
      <c r="X632" s="10">
        <f>'[1]V, inciso o) (OP)'!AE324</f>
        <v>43131</v>
      </c>
      <c r="Y632" s="7" t="s">
        <v>402</v>
      </c>
      <c r="Z632" s="7" t="s">
        <v>296</v>
      </c>
      <c r="AA632" s="7" t="s">
        <v>508</v>
      </c>
      <c r="AB632" s="21" t="s">
        <v>2333</v>
      </c>
      <c r="AC632" s="6" t="s">
        <v>2438</v>
      </c>
      <c r="AD632" s="6"/>
    </row>
    <row r="633" spans="1:30" ht="69.95" customHeight="1">
      <c r="A633" s="34">
        <v>377</v>
      </c>
      <c r="B633" s="7">
        <v>2017</v>
      </c>
      <c r="C633" s="7" t="s">
        <v>62</v>
      </c>
      <c r="D633" s="6" t="str">
        <f>'[1]V, inciso o) (OP)'!C325</f>
        <v>DOPI-MUN-RM-ID-AD-377-2017</v>
      </c>
      <c r="E633" s="10">
        <f>'[1]V, inciso o) (OP)'!V325</f>
        <v>43042</v>
      </c>
      <c r="F633" s="6" t="str">
        <f>'[1]V, inciso o) (OP)'!AA325</f>
        <v>Construcción de fuente interactiva y estructura con lonaria para protección de rayos ultravioleta para gradería en cancha de fut bol de la Unidad Deportiva Miguel de la Madrid, municipio de Zapopan, Jalisco.</v>
      </c>
      <c r="G633" s="6" t="s">
        <v>63</v>
      </c>
      <c r="H633" s="25">
        <v>1191632.6599999999</v>
      </c>
      <c r="I633" s="6" t="s">
        <v>1149</v>
      </c>
      <c r="J633" s="6" t="str">
        <f>'[1]V, inciso o) (OP)'!M325</f>
        <v>MARÍA ARCELIA</v>
      </c>
      <c r="K633" s="6" t="str">
        <f>'[1]V, inciso o) (OP)'!N325</f>
        <v>IÑIGUEZ</v>
      </c>
      <c r="L633" s="6" t="str">
        <f>'[1]V, inciso o) (OP)'!O325</f>
        <v>HERNÁNDEZ</v>
      </c>
      <c r="M633" s="6" t="s">
        <v>1978</v>
      </c>
      <c r="N633" s="6" t="str">
        <f>'[1]V, inciso o) (OP)'!Q325</f>
        <v>IRH140924LX3</v>
      </c>
      <c r="O633" s="11">
        <f t="shared" si="16"/>
        <v>1191632.6599999999</v>
      </c>
      <c r="P633" s="11">
        <v>917457.57</v>
      </c>
      <c r="Q633" s="7" t="s">
        <v>1150</v>
      </c>
      <c r="R633" s="11">
        <f>H633/482</f>
        <v>2472.2669294605807</v>
      </c>
      <c r="S633" s="7" t="s">
        <v>41</v>
      </c>
      <c r="T633" s="12">
        <v>2399</v>
      </c>
      <c r="U633" s="13" t="s">
        <v>42</v>
      </c>
      <c r="V633" s="43" t="s">
        <v>43</v>
      </c>
      <c r="W633" s="10">
        <f>'[1]V, inciso o) (OP)'!AD325</f>
        <v>43045</v>
      </c>
      <c r="X633" s="10">
        <f>'[1]V, inciso o) (OP)'!AE325</f>
        <v>43100</v>
      </c>
      <c r="Y633" s="7" t="s">
        <v>722</v>
      </c>
      <c r="Z633" s="7" t="s">
        <v>231</v>
      </c>
      <c r="AA633" s="7" t="s">
        <v>143</v>
      </c>
      <c r="AB633" s="21" t="s">
        <v>1584</v>
      </c>
      <c r="AC633" s="6" t="s">
        <v>2438</v>
      </c>
      <c r="AD633" s="6"/>
    </row>
    <row r="634" spans="1:30" ht="69.95" customHeight="1">
      <c r="A634" s="34">
        <v>378</v>
      </c>
      <c r="B634" s="7">
        <v>2017</v>
      </c>
      <c r="C634" s="7" t="s">
        <v>62</v>
      </c>
      <c r="D634" s="6" t="str">
        <f>'[1]V, inciso o) (OP)'!C326</f>
        <v>DOPI-MUN-RM-ELE-AD-378-2017</v>
      </c>
      <c r="E634" s="10">
        <f>'[1]V, inciso o) (OP)'!V326</f>
        <v>43042</v>
      </c>
      <c r="F634" s="6" t="str">
        <f>'[1]V, inciso o) (OP)'!AA326</f>
        <v>Red de electrificación en media tensión en la calle Capulín, en la localidad de Tesistán, municipio de Zapopan, Jalisco.</v>
      </c>
      <c r="G634" s="6" t="s">
        <v>63</v>
      </c>
      <c r="H634" s="25">
        <v>476609.73</v>
      </c>
      <c r="I634" s="6" t="s">
        <v>553</v>
      </c>
      <c r="J634" s="6" t="str">
        <f>'[1]V, inciso o) (OP)'!M326</f>
        <v xml:space="preserve">MARCO ANTONIO </v>
      </c>
      <c r="K634" s="6" t="str">
        <f>'[1]V, inciso o) (OP)'!N326</f>
        <v>LOZANO</v>
      </c>
      <c r="L634" s="6" t="str">
        <f>'[1]V, inciso o) (OP)'!O326</f>
        <v>ESTRADA</v>
      </c>
      <c r="M634" s="6" t="s">
        <v>3180</v>
      </c>
      <c r="N634" s="6" t="str">
        <f>'[1]V, inciso o) (OP)'!Q326</f>
        <v>DFU090928JB5</v>
      </c>
      <c r="O634" s="11">
        <f t="shared" si="16"/>
        <v>476609.73</v>
      </c>
      <c r="P634" s="11">
        <v>475406.51</v>
      </c>
      <c r="Q634" s="7" t="s">
        <v>1151</v>
      </c>
      <c r="R634" s="11">
        <f>H634/125</f>
        <v>3812.8778399999997</v>
      </c>
      <c r="S634" s="7" t="s">
        <v>41</v>
      </c>
      <c r="T634" s="12">
        <v>232</v>
      </c>
      <c r="U634" s="13" t="s">
        <v>42</v>
      </c>
      <c r="V634" s="43" t="s">
        <v>43</v>
      </c>
      <c r="W634" s="10">
        <f>'[1]V, inciso o) (OP)'!AD326</f>
        <v>43045</v>
      </c>
      <c r="X634" s="10">
        <f>'[1]V, inciso o) (OP)'!AE326</f>
        <v>43100</v>
      </c>
      <c r="Y634" s="7" t="s">
        <v>402</v>
      </c>
      <c r="Z634" s="7" t="s">
        <v>296</v>
      </c>
      <c r="AA634" s="7" t="s">
        <v>508</v>
      </c>
      <c r="AB634" s="21" t="s">
        <v>2334</v>
      </c>
      <c r="AC634" s="6" t="s">
        <v>2438</v>
      </c>
      <c r="AD634" s="6"/>
    </row>
    <row r="635" spans="1:30" ht="69.95" customHeight="1">
      <c r="A635" s="34">
        <v>379</v>
      </c>
      <c r="B635" s="7">
        <v>2017</v>
      </c>
      <c r="C635" s="7" t="s">
        <v>62</v>
      </c>
      <c r="D635" s="6" t="str">
        <f>'[1]V, inciso o) (OP)'!C327</f>
        <v>DOPI-MUN-RM-DS-AD-379-2017</v>
      </c>
      <c r="E635" s="10">
        <f>'[1]V, inciso o) (OP)'!V327</f>
        <v>43042</v>
      </c>
      <c r="F635" s="6" t="str">
        <f>'[1]V, inciso o) (OP)'!AA327</f>
        <v>Construcción de colector pluvial en la calle Plata en el tramo de Juan Pablo II a calle Insurgentes, colonia San José del Bajio, municipio de Zapopan, Jalisco.</v>
      </c>
      <c r="G635" s="6" t="s">
        <v>63</v>
      </c>
      <c r="H635" s="25">
        <v>750368.42</v>
      </c>
      <c r="I635" s="6" t="s">
        <v>105</v>
      </c>
      <c r="J635" s="6" t="str">
        <f>'[1]V, inciso o) (OP)'!M327</f>
        <v>J. GERARDO</v>
      </c>
      <c r="K635" s="6" t="str">
        <f>'[1]V, inciso o) (OP)'!N327</f>
        <v>NICANOR</v>
      </c>
      <c r="L635" s="6" t="str">
        <f>'[1]V, inciso o) (OP)'!O327</f>
        <v>MEJIA MARISCAL</v>
      </c>
      <c r="M635" s="6" t="s">
        <v>1886</v>
      </c>
      <c r="N635" s="6" t="str">
        <f>'[1]V, inciso o) (OP)'!Q327</f>
        <v>ICO980722MQ4</v>
      </c>
      <c r="O635" s="11">
        <f t="shared" si="16"/>
        <v>750368.42</v>
      </c>
      <c r="P635" s="11">
        <v>747485.51</v>
      </c>
      <c r="Q635" s="7" t="s">
        <v>1152</v>
      </c>
      <c r="R635" s="11">
        <f>H635/115</f>
        <v>6524.9427826086958</v>
      </c>
      <c r="S635" s="7" t="s">
        <v>41</v>
      </c>
      <c r="T635" s="12">
        <v>102</v>
      </c>
      <c r="U635" s="13" t="s">
        <v>42</v>
      </c>
      <c r="V635" s="43" t="s">
        <v>43</v>
      </c>
      <c r="W635" s="10">
        <f>'[1]V, inciso o) (OP)'!AD327</f>
        <v>43045</v>
      </c>
      <c r="X635" s="10">
        <f>'[1]V, inciso o) (OP)'!AE327</f>
        <v>43146</v>
      </c>
      <c r="Y635" s="7" t="s">
        <v>718</v>
      </c>
      <c r="Z635" s="7" t="s">
        <v>947</v>
      </c>
      <c r="AA635" s="7" t="s">
        <v>116</v>
      </c>
      <c r="AB635" s="21" t="s">
        <v>2843</v>
      </c>
      <c r="AC635" s="6" t="s">
        <v>2438</v>
      </c>
      <c r="AD635" s="6"/>
    </row>
    <row r="636" spans="1:30" ht="69.95" customHeight="1">
      <c r="A636" s="34">
        <v>380</v>
      </c>
      <c r="B636" s="7">
        <v>2017</v>
      </c>
      <c r="C636" s="7" t="s">
        <v>62</v>
      </c>
      <c r="D636" s="6" t="str">
        <f>'[1]V, inciso o) (OP)'!C328</f>
        <v>DOPI-MUN-RM-IH-AD-380-2017</v>
      </c>
      <c r="E636" s="10">
        <f>'[1]V, inciso o) (OP)'!V328</f>
        <v>43053</v>
      </c>
      <c r="F636" s="6" t="str">
        <f>'[1]V, inciso o) (OP)'!AA328</f>
        <v>Trabajos de interconexión de la red de distribución a la red del SIAPA en la localidad de Santa Anta Tepetitlán, municipio de Zapopan, Jalisco, primera etapa.</v>
      </c>
      <c r="G636" s="6" t="s">
        <v>63</v>
      </c>
      <c r="H636" s="25">
        <v>1655244.55</v>
      </c>
      <c r="I636" s="6" t="s">
        <v>276</v>
      </c>
      <c r="J636" s="6" t="str">
        <f>'[1]V, inciso o) (OP)'!M328</f>
        <v>AMALIA</v>
      </c>
      <c r="K636" s="6" t="str">
        <f>'[1]V, inciso o) (OP)'!N328</f>
        <v>MORENO</v>
      </c>
      <c r="L636" s="6" t="str">
        <f>'[1]V, inciso o) (OP)'!O328</f>
        <v>MALDONADO</v>
      </c>
      <c r="M636" s="6" t="s">
        <v>1970</v>
      </c>
      <c r="N636" s="6" t="str">
        <f>'[1]V, inciso o) (OP)'!Q328</f>
        <v>GCM020226F28</v>
      </c>
      <c r="O636" s="11">
        <f t="shared" si="16"/>
        <v>1655244.55</v>
      </c>
      <c r="P636" s="11">
        <v>1655244.55</v>
      </c>
      <c r="Q636" s="7" t="s">
        <v>1069</v>
      </c>
      <c r="R636" s="11">
        <f>H636/436</f>
        <v>3796.4324541284404</v>
      </c>
      <c r="S636" s="7" t="s">
        <v>41</v>
      </c>
      <c r="T636" s="12">
        <v>15890</v>
      </c>
      <c r="U636" s="13" t="s">
        <v>42</v>
      </c>
      <c r="V636" s="43" t="s">
        <v>43</v>
      </c>
      <c r="W636" s="10">
        <f>'[1]V, inciso o) (OP)'!AD328</f>
        <v>43054</v>
      </c>
      <c r="X636" s="10">
        <f>'[1]V, inciso o) (OP)'!AE328</f>
        <v>43100</v>
      </c>
      <c r="Y636" s="7" t="s">
        <v>722</v>
      </c>
      <c r="Z636" s="7" t="s">
        <v>231</v>
      </c>
      <c r="AA636" s="7" t="s">
        <v>143</v>
      </c>
      <c r="AB636" s="21" t="s">
        <v>2335</v>
      </c>
      <c r="AC636" s="6" t="s">
        <v>2438</v>
      </c>
      <c r="AD636" s="6"/>
    </row>
    <row r="637" spans="1:30" ht="69.95" customHeight="1">
      <c r="A637" s="34">
        <v>381</v>
      </c>
      <c r="B637" s="7">
        <v>2017</v>
      </c>
      <c r="C637" s="7" t="s">
        <v>62</v>
      </c>
      <c r="D637" s="6" t="str">
        <f>'[1]V, inciso o) (OP)'!C329</f>
        <v>DOPI-MUN-CUSMAX-ID-AD-381-2017</v>
      </c>
      <c r="E637" s="10">
        <f>'[1]V, inciso o) (OP)'!V329</f>
        <v>43080</v>
      </c>
      <c r="F637" s="32" t="str">
        <f>'[1]V, inciso o) (OP)'!AA329</f>
        <v>Rehabilitación de la Unidad Deportiva Santa Ana Tepetitlán, (Alcances: cancha de usos múltiples, motivo de ingreso, juegos infantiles, gimnasio al aire libre, andadores, accesibilidad, pintura y alumbrado público), primera etapa, municipio de Zapopan, Jalisco.</v>
      </c>
      <c r="G637" s="6" t="s">
        <v>3332</v>
      </c>
      <c r="H637" s="25">
        <v>1498589.36</v>
      </c>
      <c r="I637" s="6" t="s">
        <v>276</v>
      </c>
      <c r="J637" s="6" t="str">
        <f>'[1]V, inciso o) (OP)'!M329</f>
        <v xml:space="preserve">BEATRIZ </v>
      </c>
      <c r="K637" s="6" t="str">
        <f>'[1]V, inciso o) (OP)'!N329</f>
        <v xml:space="preserve">MORA  </v>
      </c>
      <c r="L637" s="6" t="str">
        <f>'[1]V, inciso o) (OP)'!O329</f>
        <v xml:space="preserve"> MEDINA </v>
      </c>
      <c r="M637" s="6" t="s">
        <v>3243</v>
      </c>
      <c r="N637" s="6" t="str">
        <f>'[1]V, inciso o) (OP)'!Q329</f>
        <v>PES121109MN7</v>
      </c>
      <c r="O637" s="11">
        <f t="shared" si="16"/>
        <v>1498589.36</v>
      </c>
      <c r="P637" s="11">
        <v>1393564.24</v>
      </c>
      <c r="Q637" s="14" t="s">
        <v>1153</v>
      </c>
      <c r="R637" s="15">
        <f>O637/1206</f>
        <v>1242.6114096185738</v>
      </c>
      <c r="S637" s="7" t="s">
        <v>41</v>
      </c>
      <c r="T637" s="12">
        <v>2481</v>
      </c>
      <c r="U637" s="13" t="s">
        <v>42</v>
      </c>
      <c r="V637" s="43" t="s">
        <v>43</v>
      </c>
      <c r="W637" s="10">
        <f>'[1]V, inciso o) (OP)'!AD329</f>
        <v>43080</v>
      </c>
      <c r="X637" s="10">
        <f>'[1]V, inciso o) (OP)'!AE329</f>
        <v>43177</v>
      </c>
      <c r="Y637" s="7" t="s">
        <v>722</v>
      </c>
      <c r="Z637" s="7" t="s">
        <v>231</v>
      </c>
      <c r="AA637" s="7" t="s">
        <v>143</v>
      </c>
      <c r="AB637" s="21" t="s">
        <v>1585</v>
      </c>
      <c r="AC637" s="6" t="s">
        <v>2438</v>
      </c>
      <c r="AD637" s="6"/>
    </row>
    <row r="638" spans="1:30" ht="69.95" customHeight="1">
      <c r="A638" s="34">
        <v>1</v>
      </c>
      <c r="B638" s="7">
        <v>2018</v>
      </c>
      <c r="C638" s="7" t="s">
        <v>62</v>
      </c>
      <c r="D638" s="6" t="str">
        <f>'[1]V, inciso o) (OP)'!C330</f>
        <v>DOPI-MUN-RM-APDS-AD-001-2018</v>
      </c>
      <c r="E638" s="10">
        <f>'[1]V, inciso o) (OP)'!V330</f>
        <v>43115</v>
      </c>
      <c r="F638" s="6" t="str">
        <f>'[1]V, inciso o) (OP)'!AA330</f>
        <v>Construcción de red de agua potable y drenaje sanitario en la Av. Camino Antiguo a Tesistán de la calle De Las Palmeras a Arcos de Alejandro, en la colonia Parques de Zapopan, municipio de Zapopan, Jalisco.</v>
      </c>
      <c r="G638" s="6" t="s">
        <v>63</v>
      </c>
      <c r="H638" s="25">
        <v>1698155.15</v>
      </c>
      <c r="I638" s="6" t="s">
        <v>2336</v>
      </c>
      <c r="J638" s="6" t="str">
        <f>'[1]V, inciso o) (OP)'!M330</f>
        <v xml:space="preserve">NÉSTOR </v>
      </c>
      <c r="K638" s="6" t="str">
        <f>'[1]V, inciso o) (OP)'!N330</f>
        <v>DE LA TORRE</v>
      </c>
      <c r="L638" s="6" t="str">
        <f>'[1]V, inciso o) (OP)'!O330</f>
        <v>MENCHACA</v>
      </c>
      <c r="M638" s="6" t="s">
        <v>3139</v>
      </c>
      <c r="N638" s="6" t="str">
        <f>'[1]V, inciso o) (OP)'!Q330</f>
        <v>ITO951005HY5</v>
      </c>
      <c r="O638" s="11">
        <f t="shared" si="16"/>
        <v>1698155.15</v>
      </c>
      <c r="P638" s="11">
        <v>1336266.31</v>
      </c>
      <c r="Q638" s="14" t="s">
        <v>1154</v>
      </c>
      <c r="R638" s="15">
        <f>O638/229</f>
        <v>7415.5246724890821</v>
      </c>
      <c r="S638" s="7" t="s">
        <v>41</v>
      </c>
      <c r="T638" s="12">
        <v>298</v>
      </c>
      <c r="U638" s="13" t="s">
        <v>42</v>
      </c>
      <c r="V638" s="43" t="s">
        <v>43</v>
      </c>
      <c r="W638" s="10">
        <f>'[1]V, inciso o) (OP)'!AD330</f>
        <v>43115</v>
      </c>
      <c r="X638" s="10">
        <f>'[1]V, inciso o) (OP)'!AE330</f>
        <v>43177</v>
      </c>
      <c r="Y638" s="7" t="s">
        <v>331</v>
      </c>
      <c r="Z638" s="7" t="s">
        <v>332</v>
      </c>
      <c r="AA638" s="7" t="s">
        <v>116</v>
      </c>
      <c r="AB638" s="21" t="s">
        <v>2337</v>
      </c>
      <c r="AC638" s="6" t="s">
        <v>2438</v>
      </c>
      <c r="AD638" s="6"/>
    </row>
    <row r="639" spans="1:30" ht="69.95" customHeight="1">
      <c r="A639" s="34">
        <v>2</v>
      </c>
      <c r="B639" s="7">
        <v>2018</v>
      </c>
      <c r="C639" s="7" t="s">
        <v>62</v>
      </c>
      <c r="D639" s="6" t="str">
        <f>'[1]V, inciso o) (OP)'!C331</f>
        <v>DOPI-MUN-RM-PROY-AD-002-2018</v>
      </c>
      <c r="E639" s="10">
        <f>'[1]V, inciso o) (OP)'!V331</f>
        <v>43115</v>
      </c>
      <c r="F639" s="6" t="str">
        <f>'[1]V, inciso o) (OP)'!AA331</f>
        <v>Análisis de alternativas y anteproyecto del Parque Central, ubicado en la colonia Tepeyac, municipio de Zapopan, Jalisco.</v>
      </c>
      <c r="G639" s="6" t="s">
        <v>63</v>
      </c>
      <c r="H639" s="25">
        <v>765602.44</v>
      </c>
      <c r="I639" s="6" t="s">
        <v>981</v>
      </c>
      <c r="J639" s="6" t="str">
        <f>'[1]V, inciso o) (OP)'!M331</f>
        <v>JOSÉ MANUEL</v>
      </c>
      <c r="K639" s="6" t="str">
        <f>'[1]V, inciso o) (OP)'!N331</f>
        <v>GÓMEZ</v>
      </c>
      <c r="L639" s="6" t="str">
        <f>'[1]V, inciso o) (OP)'!O331</f>
        <v>CASTELLANOS</v>
      </c>
      <c r="M639" s="6" t="s">
        <v>3241</v>
      </c>
      <c r="N639" s="6" t="str">
        <f>'[1]V, inciso o) (OP)'!Q331</f>
        <v>GDI020122D2A</v>
      </c>
      <c r="O639" s="11">
        <f t="shared" si="16"/>
        <v>765602.44</v>
      </c>
      <c r="P639" s="11">
        <f t="shared" ref="P639" si="17">O639</f>
        <v>765602.44</v>
      </c>
      <c r="Q639" s="14" t="s">
        <v>611</v>
      </c>
      <c r="R639" s="15">
        <f>O639</f>
        <v>765602.44</v>
      </c>
      <c r="S639" s="7" t="s">
        <v>121</v>
      </c>
      <c r="T639" s="12" t="s">
        <v>121</v>
      </c>
      <c r="U639" s="13" t="s">
        <v>42</v>
      </c>
      <c r="V639" s="7" t="s">
        <v>373</v>
      </c>
      <c r="W639" s="10">
        <f>'[1]V, inciso o) (OP)'!AD331</f>
        <v>43115</v>
      </c>
      <c r="X639" s="10">
        <f>'[1]V, inciso o) (OP)'!AE331</f>
        <v>43159</v>
      </c>
      <c r="Y639" s="7" t="s">
        <v>680</v>
      </c>
      <c r="Z639" s="7" t="s">
        <v>681</v>
      </c>
      <c r="AA639" s="7" t="s">
        <v>132</v>
      </c>
      <c r="AB639" s="21" t="s">
        <v>2338</v>
      </c>
      <c r="AC639" s="6" t="s">
        <v>2438</v>
      </c>
      <c r="AD639" s="6"/>
    </row>
    <row r="640" spans="1:30" ht="69.95" customHeight="1">
      <c r="A640" s="34">
        <v>3</v>
      </c>
      <c r="B640" s="7">
        <v>2018</v>
      </c>
      <c r="C640" s="7" t="s">
        <v>62</v>
      </c>
      <c r="D640" s="6" t="str">
        <f>'[1]V, inciso o) (OP)'!C332</f>
        <v>DOPI-MUN-RM-BAN-AD-003-2018</v>
      </c>
      <c r="E640" s="10">
        <f>'[1]V, inciso o) (OP)'!V332</f>
        <v>43115</v>
      </c>
      <c r="F640" s="6" t="str">
        <f>'[1]V, inciso o) (OP)'!AA332</f>
        <v>Peatonalización, construcción de banquetas, guarniciones, bolardos, accesibilidad, en la colonia Parques de Zapopan, municipio de Zapopan, Jalisco, primera etapa.</v>
      </c>
      <c r="G640" s="6" t="s">
        <v>63</v>
      </c>
      <c r="H640" s="25">
        <v>1301844.8500000001</v>
      </c>
      <c r="I640" s="6" t="s">
        <v>2336</v>
      </c>
      <c r="J640" s="6" t="str">
        <f>'[1]V, inciso o) (OP)'!M332</f>
        <v>TOMÁS</v>
      </c>
      <c r="K640" s="6" t="str">
        <f>'[1]V, inciso o) (OP)'!N332</f>
        <v>SANDOVAL</v>
      </c>
      <c r="L640" s="6" t="str">
        <f>'[1]V, inciso o) (OP)'!O332</f>
        <v>ÁLVAREZ</v>
      </c>
      <c r="M640" s="6" t="s">
        <v>3244</v>
      </c>
      <c r="N640" s="6" t="str">
        <f>'[1]V, inciso o) (OP)'!Q332</f>
        <v>CRM910909K48</v>
      </c>
      <c r="O640" s="11">
        <f t="shared" si="16"/>
        <v>1301844.8500000001</v>
      </c>
      <c r="P640" s="11">
        <v>754130.88</v>
      </c>
      <c r="Q640" s="14" t="s">
        <v>1155</v>
      </c>
      <c r="R640" s="15">
        <f>O640/7059</f>
        <v>184.42340983142088</v>
      </c>
      <c r="S640" s="7" t="s">
        <v>41</v>
      </c>
      <c r="T640" s="12">
        <v>5697</v>
      </c>
      <c r="U640" s="13" t="s">
        <v>42</v>
      </c>
      <c r="V640" s="43" t="s">
        <v>43</v>
      </c>
      <c r="W640" s="10">
        <f>'[1]V, inciso o) (OP)'!AD332</f>
        <v>43115</v>
      </c>
      <c r="X640" s="10">
        <f>'[1]V, inciso o) (OP)'!AE332</f>
        <v>43192</v>
      </c>
      <c r="Y640" s="7" t="s">
        <v>429</v>
      </c>
      <c r="Z640" s="7" t="s">
        <v>290</v>
      </c>
      <c r="AA640" s="7" t="s">
        <v>73</v>
      </c>
      <c r="AB640" s="21" t="s">
        <v>2339</v>
      </c>
      <c r="AC640" s="6" t="s">
        <v>2438</v>
      </c>
      <c r="AD640" s="6"/>
    </row>
    <row r="641" spans="1:30" ht="69.95" customHeight="1">
      <c r="A641" s="34">
        <v>4</v>
      </c>
      <c r="B641" s="7">
        <v>2018</v>
      </c>
      <c r="C641" s="7" t="s">
        <v>62</v>
      </c>
      <c r="D641" s="6" t="str">
        <f>'[1]V, inciso o) (OP)'!C333</f>
        <v>DOPI-MUN-RM-IS-AD-004-2018</v>
      </c>
      <c r="E641" s="10">
        <f>'[1]V, inciso o) (OP)'!V333</f>
        <v>43150</v>
      </c>
      <c r="F641" s="6" t="str">
        <f>'[1]V, inciso o) (OP)'!AA333</f>
        <v>Albañilería, acabados, cancelería e instalación eléctrica en el área de administración y rayos X, y obra complementaria en el estacionamiento, en la Cruz Verde Federalismo, municipio de Zapopan, Jalisco.</v>
      </c>
      <c r="G641" s="6" t="s">
        <v>63</v>
      </c>
      <c r="H641" s="25">
        <v>972692.46</v>
      </c>
      <c r="I641" s="6" t="s">
        <v>969</v>
      </c>
      <c r="J641" s="6" t="str">
        <f>'[1]V, inciso o) (OP)'!M333</f>
        <v>LUIS ARMANDO</v>
      </c>
      <c r="K641" s="6" t="str">
        <f>'[1]V, inciso o) (OP)'!N333</f>
        <v>LINARES</v>
      </c>
      <c r="L641" s="6" t="str">
        <f>'[1]V, inciso o) (OP)'!O333</f>
        <v>CACHO</v>
      </c>
      <c r="M641" s="6" t="s">
        <v>3156</v>
      </c>
      <c r="N641" s="6" t="str">
        <f>'[1]V, inciso o) (OP)'!Q333</f>
        <v>UMN160125869</v>
      </c>
      <c r="O641" s="11">
        <f t="shared" si="16"/>
        <v>972692.46</v>
      </c>
      <c r="P641" s="11">
        <v>971834.66999999993</v>
      </c>
      <c r="Q641" s="14" t="s">
        <v>1156</v>
      </c>
      <c r="R641" s="15">
        <f>O641/116</f>
        <v>8385.279827586206</v>
      </c>
      <c r="S641" s="7" t="s">
        <v>41</v>
      </c>
      <c r="T641" s="12">
        <v>1332272</v>
      </c>
      <c r="U641" s="13" t="s">
        <v>42</v>
      </c>
      <c r="V641" s="7" t="s">
        <v>43</v>
      </c>
      <c r="W641" s="10">
        <f>'[1]V, inciso o) (OP)'!AD333</f>
        <v>43150</v>
      </c>
      <c r="X641" s="10">
        <f>'[1]V, inciso o) (OP)'!AE333</f>
        <v>43174</v>
      </c>
      <c r="Y641" s="7" t="s">
        <v>859</v>
      </c>
      <c r="Z641" s="7" t="s">
        <v>860</v>
      </c>
      <c r="AA641" s="7" t="s">
        <v>861</v>
      </c>
      <c r="AB641" s="21" t="s">
        <v>2340</v>
      </c>
      <c r="AC641" s="6" t="s">
        <v>2438</v>
      </c>
      <c r="AD641" s="6"/>
    </row>
    <row r="642" spans="1:30" ht="69.95" customHeight="1">
      <c r="A642" s="34">
        <v>5</v>
      </c>
      <c r="B642" s="7">
        <v>2018</v>
      </c>
      <c r="C642" s="7" t="s">
        <v>62</v>
      </c>
      <c r="D642" s="6" t="str">
        <f>'[1]V, inciso o) (OP)'!C334</f>
        <v>DOPI-MUN-RM-BAN-AD-005-2018</v>
      </c>
      <c r="E642" s="10">
        <f>'[1]V, inciso o) (OP)'!V334</f>
        <v>43150</v>
      </c>
      <c r="F642" s="6" t="str">
        <f>'[1]V, inciso o) (OP)'!AA334</f>
        <v>Construcción de banquetas y peatonalización en la Zona de Nixticuitl, municipio de Zapopan, Jalisco.</v>
      </c>
      <c r="G642" s="6" t="s">
        <v>63</v>
      </c>
      <c r="H642" s="25">
        <v>1158131.04</v>
      </c>
      <c r="I642" s="6" t="s">
        <v>1157</v>
      </c>
      <c r="J642" s="6" t="str">
        <f>'[1]V, inciso o) (OP)'!M334</f>
        <v>JOSÉ ANTONIO</v>
      </c>
      <c r="K642" s="6" t="str">
        <f>'[1]V, inciso o) (OP)'!N334</f>
        <v>ÁLVAREZ</v>
      </c>
      <c r="L642" s="6" t="str">
        <f>'[1]V, inciso o) (OP)'!O334</f>
        <v>ZULOAGA</v>
      </c>
      <c r="M642" s="6" t="s">
        <v>1863</v>
      </c>
      <c r="N642" s="6" t="str">
        <f>'[1]V, inciso o) (OP)'!Q334</f>
        <v>GDA150928286</v>
      </c>
      <c r="O642" s="11">
        <f t="shared" si="16"/>
        <v>1158131.04</v>
      </c>
      <c r="P642" s="11">
        <v>1157943.25</v>
      </c>
      <c r="Q642" s="14" t="s">
        <v>1158</v>
      </c>
      <c r="R642" s="15">
        <f>O642/88</f>
        <v>13160.58</v>
      </c>
      <c r="S642" s="7" t="s">
        <v>41</v>
      </c>
      <c r="T642" s="12">
        <v>1258</v>
      </c>
      <c r="U642" s="13" t="s">
        <v>42</v>
      </c>
      <c r="V642" s="7" t="s">
        <v>43</v>
      </c>
      <c r="W642" s="10">
        <f>'[1]V, inciso o) (OP)'!AD334</f>
        <v>43150</v>
      </c>
      <c r="X642" s="10">
        <f>'[1]V, inciso o) (OP)'!AE334</f>
        <v>43189</v>
      </c>
      <c r="Y642" s="7" t="s">
        <v>402</v>
      </c>
      <c r="Z642" s="7" t="s">
        <v>1159</v>
      </c>
      <c r="AA642" s="7" t="s">
        <v>1160</v>
      </c>
      <c r="AB642" s="21" t="s">
        <v>2341</v>
      </c>
      <c r="AC642" s="6" t="s">
        <v>2438</v>
      </c>
      <c r="AD642" s="6"/>
    </row>
    <row r="643" spans="1:30" ht="69.95" customHeight="1">
      <c r="A643" s="34">
        <v>6</v>
      </c>
      <c r="B643" s="7">
        <v>2018</v>
      </c>
      <c r="C643" s="7" t="s">
        <v>62</v>
      </c>
      <c r="D643" s="6" t="str">
        <f>'[1]V, inciso o) (OP)'!C335</f>
        <v>DOPI-MUN-RM-BAN-AD-006-2018</v>
      </c>
      <c r="E643" s="10">
        <f>'[1]V, inciso o) (OP)'!V335</f>
        <v>43150</v>
      </c>
      <c r="F643" s="6" t="str">
        <f>'[1]V, inciso o) (OP)'!AA335</f>
        <v>Peatonalización, construcción de banquetas, sustitución de guarniciones, bolardos, señalética vertical y horizontal en la Av. Romanos de Del Dolmen a Av. Patria, en la colonia Altamira, municipio de Zapopan, Jalisco.</v>
      </c>
      <c r="G643" s="6" t="s">
        <v>63</v>
      </c>
      <c r="H643" s="25">
        <v>1467824.62</v>
      </c>
      <c r="I643" s="6" t="s">
        <v>1161</v>
      </c>
      <c r="J643" s="6" t="str">
        <f>'[1]V, inciso o) (OP)'!M335</f>
        <v xml:space="preserve">FRANCISCO GUSTAVO </v>
      </c>
      <c r="K643" s="6" t="str">
        <f>'[1]V, inciso o) (OP)'!N335</f>
        <v>ACEVES</v>
      </c>
      <c r="L643" s="6" t="str">
        <f>'[1]V, inciso o) (OP)'!O335</f>
        <v xml:space="preserve">GARZA </v>
      </c>
      <c r="M643" s="6" t="s">
        <v>3148</v>
      </c>
      <c r="N643" s="6" t="str">
        <f>'[1]V, inciso o) (OP)'!Q335</f>
        <v>TSI0906015A9</v>
      </c>
      <c r="O643" s="11">
        <f t="shared" si="16"/>
        <v>1467824.62</v>
      </c>
      <c r="P643" s="11">
        <v>1467824.6</v>
      </c>
      <c r="Q643" s="14" t="s">
        <v>1162</v>
      </c>
      <c r="R643" s="15">
        <f>O643/7960</f>
        <v>184.40007788944726</v>
      </c>
      <c r="S643" s="7" t="s">
        <v>41</v>
      </c>
      <c r="T643" s="12">
        <v>1054</v>
      </c>
      <c r="U643" s="13" t="s">
        <v>42</v>
      </c>
      <c r="V643" s="7" t="s">
        <v>43</v>
      </c>
      <c r="W643" s="10">
        <f>'[1]V, inciso o) (OP)'!AD335</f>
        <v>43150</v>
      </c>
      <c r="X643" s="10">
        <f>'[1]V, inciso o) (OP)'!AE335</f>
        <v>43174</v>
      </c>
      <c r="Y643" s="7" t="s">
        <v>815</v>
      </c>
      <c r="Z643" s="7" t="s">
        <v>816</v>
      </c>
      <c r="AA643" s="7" t="s">
        <v>130</v>
      </c>
      <c r="AB643" s="21" t="s">
        <v>2342</v>
      </c>
      <c r="AC643" s="6" t="s">
        <v>2438</v>
      </c>
      <c r="AD643" s="6"/>
    </row>
    <row r="644" spans="1:30" ht="69.95" customHeight="1">
      <c r="A644" s="34">
        <v>7</v>
      </c>
      <c r="B644" s="7">
        <v>2018</v>
      </c>
      <c r="C644" s="7" t="s">
        <v>62</v>
      </c>
      <c r="D644" s="6" t="str">
        <f>'[1]V, inciso o) (OP)'!C336</f>
        <v>DOPI-MUN-RM-IE-AD-007-2018</v>
      </c>
      <c r="E644" s="10">
        <f>'[1]V, inciso o) (OP)'!V336</f>
        <v>43140</v>
      </c>
      <c r="F644" s="6" t="str">
        <f>'[1]V, inciso o) (OP)'!AA336</f>
        <v>Reforzamiento Complementario de estructuras con lonarias los planteles educativos: Primaria Diego Rivera (14DPR3789G) y Escuela Alfredo V. Bonfil (14EPR1115G), municipio de Zapopan, Jalisco.</v>
      </c>
      <c r="G644" s="6" t="s">
        <v>63</v>
      </c>
      <c r="H644" s="25">
        <v>290115.26</v>
      </c>
      <c r="I644" s="6" t="s">
        <v>1317</v>
      </c>
      <c r="J644" s="6" t="str">
        <f>'[1]V, inciso o) (OP)'!M336</f>
        <v xml:space="preserve">ALEJANDRO LUIS </v>
      </c>
      <c r="K644" s="6" t="str">
        <f>'[1]V, inciso o) (OP)'!N336</f>
        <v xml:space="preserve">VAIDOVITS </v>
      </c>
      <c r="L644" s="6" t="str">
        <f>'[1]V, inciso o) (OP)'!O336</f>
        <v xml:space="preserve"> SCHNURER</v>
      </c>
      <c r="M644" s="6" t="s">
        <v>3245</v>
      </c>
      <c r="N644" s="6" t="str">
        <f>'[1]V, inciso o) (OP)'!Q336</f>
        <v>PME930817EV7</v>
      </c>
      <c r="O644" s="11">
        <f t="shared" si="16"/>
        <v>290115.26</v>
      </c>
      <c r="P644" s="11">
        <v>290115.26</v>
      </c>
      <c r="Q644" s="14" t="s">
        <v>1163</v>
      </c>
      <c r="R644" s="15">
        <f>O644/622</f>
        <v>466.42324758842443</v>
      </c>
      <c r="S644" s="7" t="s">
        <v>41</v>
      </c>
      <c r="T644" s="12">
        <v>2687</v>
      </c>
      <c r="U644" s="13" t="s">
        <v>42</v>
      </c>
      <c r="V644" s="7" t="s">
        <v>43</v>
      </c>
      <c r="W644" s="10">
        <f>'[1]V, inciso o) (OP)'!AD336</f>
        <v>43143</v>
      </c>
      <c r="X644" s="10">
        <f>'[1]V, inciso o) (OP)'!AE336</f>
        <v>43190</v>
      </c>
      <c r="Y644" s="7" t="s">
        <v>429</v>
      </c>
      <c r="Z644" s="7" t="s">
        <v>290</v>
      </c>
      <c r="AA644" s="7" t="s">
        <v>73</v>
      </c>
      <c r="AB644" s="21" t="s">
        <v>2343</v>
      </c>
      <c r="AC644" s="6" t="s">
        <v>2438</v>
      </c>
      <c r="AD644" s="6"/>
    </row>
    <row r="645" spans="1:30" ht="69.95" customHeight="1">
      <c r="A645" s="34">
        <v>8</v>
      </c>
      <c r="B645" s="7">
        <v>2018</v>
      </c>
      <c r="C645" s="7" t="s">
        <v>62</v>
      </c>
      <c r="D645" s="6" t="str">
        <f>'[1]V, inciso o) (OP)'!C337</f>
        <v>DOPI-MUN-RM-ID-AD-008-2018</v>
      </c>
      <c r="E645" s="10">
        <f>'[1]V, inciso o) (OP)'!V337</f>
        <v>43145</v>
      </c>
      <c r="F645" s="6" t="str">
        <f>'[1]V, inciso o) (OP)'!AA337</f>
        <v>Construcción de cancha de usos múltiples, iluminación, ingreso, infraestructura pluvial, pista de trote y andadores en la Unidad Deportiva Miguel de la Madrid, municipio de Zapopan, Jalisco.</v>
      </c>
      <c r="G645" s="6" t="s">
        <v>63</v>
      </c>
      <c r="H645" s="25">
        <v>1712546.87</v>
      </c>
      <c r="I645" s="6" t="s">
        <v>1149</v>
      </c>
      <c r="J645" s="6" t="str">
        <f>'[1]V, inciso o) (OP)'!M337</f>
        <v>MARÍA ARCELIA</v>
      </c>
      <c r="K645" s="6" t="str">
        <f>'[1]V, inciso o) (OP)'!N337</f>
        <v>IÑIGUEZ</v>
      </c>
      <c r="L645" s="6" t="str">
        <f>'[1]V, inciso o) (OP)'!O337</f>
        <v>HERNÁNDEZ</v>
      </c>
      <c r="M645" s="6" t="s">
        <v>3182</v>
      </c>
      <c r="N645" s="6" t="str">
        <f>'[1]V, inciso o) (OP)'!Q337</f>
        <v>COP1209104M8</v>
      </c>
      <c r="O645" s="11">
        <f t="shared" si="16"/>
        <v>1712546.87</v>
      </c>
      <c r="P645" s="11">
        <v>1362140.03</v>
      </c>
      <c r="Q645" s="14" t="s">
        <v>1164</v>
      </c>
      <c r="R645" s="15">
        <f>O645/9186</f>
        <v>186.43009688656653</v>
      </c>
      <c r="S645" s="7" t="s">
        <v>41</v>
      </c>
      <c r="T645" s="12">
        <v>2399</v>
      </c>
      <c r="U645" s="13" t="s">
        <v>42</v>
      </c>
      <c r="V645" s="7" t="s">
        <v>43</v>
      </c>
      <c r="W645" s="10">
        <f>'[1]V, inciso o) (OP)'!AD337</f>
        <v>43146</v>
      </c>
      <c r="X645" s="10">
        <f>'[1]V, inciso o) (OP)'!AE337</f>
        <v>43190</v>
      </c>
      <c r="Y645" s="7" t="s">
        <v>747</v>
      </c>
      <c r="Z645" s="7" t="s">
        <v>1165</v>
      </c>
      <c r="AA645" s="7" t="s">
        <v>143</v>
      </c>
      <c r="AB645" s="21" t="s">
        <v>2344</v>
      </c>
      <c r="AC645" s="6" t="s">
        <v>2438</v>
      </c>
      <c r="AD645" s="6"/>
    </row>
    <row r="646" spans="1:30" ht="69.95" customHeight="1">
      <c r="A646" s="34">
        <v>9</v>
      </c>
      <c r="B646" s="7">
        <v>2018</v>
      </c>
      <c r="C646" s="7" t="s">
        <v>62</v>
      </c>
      <c r="D646" s="6" t="str">
        <f>'[1]V, inciso o) (OP)'!C338</f>
        <v>DOPI-MUN-RM-ID-AD-009-2018</v>
      </c>
      <c r="E646" s="10">
        <f>'[1]V, inciso o) (OP)'!V338</f>
        <v>43145</v>
      </c>
      <c r="F646" s="6" t="str">
        <f>'[1]V, inciso o) (OP)'!AA338</f>
        <v>Obra civil, Juegos infantiles, mobiliario urbano en la Unidad Deportiva Miguel de la Madrid, municipio de Zapopan, Jalisco.</v>
      </c>
      <c r="G646" s="6" t="s">
        <v>63</v>
      </c>
      <c r="H646" s="25">
        <v>1706549.23</v>
      </c>
      <c r="I646" s="6" t="s">
        <v>1149</v>
      </c>
      <c r="J646" s="6" t="str">
        <f>'[1]V, inciso o) (OP)'!M338</f>
        <v>HUGO ARMANDO</v>
      </c>
      <c r="K646" s="6" t="str">
        <f>'[1]V, inciso o) (OP)'!N338</f>
        <v>PRIETO</v>
      </c>
      <c r="L646" s="6" t="str">
        <f>'[1]V, inciso o) (OP)'!O338</f>
        <v>JIMÉNEZ</v>
      </c>
      <c r="M646" s="6" t="s">
        <v>3191</v>
      </c>
      <c r="N646" s="6" t="str">
        <f>'[1]V, inciso o) (OP)'!Q338</f>
        <v>CRP870708I62</v>
      </c>
      <c r="O646" s="11">
        <f t="shared" si="16"/>
        <v>1706549.23</v>
      </c>
      <c r="P646" s="11">
        <v>1663013.67</v>
      </c>
      <c r="Q646" s="14" t="str">
        <f>Q645</f>
        <v>9,186 M2</v>
      </c>
      <c r="R646" s="15">
        <f>O646/9186</f>
        <v>185.77718593511867</v>
      </c>
      <c r="S646" s="7" t="s">
        <v>41</v>
      </c>
      <c r="T646" s="12">
        <v>2399</v>
      </c>
      <c r="U646" s="13" t="s">
        <v>42</v>
      </c>
      <c r="V646" s="7" t="s">
        <v>43</v>
      </c>
      <c r="W646" s="10">
        <f>'[1]V, inciso o) (OP)'!AD338</f>
        <v>43146</v>
      </c>
      <c r="X646" s="10">
        <f>'[1]V, inciso o) (OP)'!AE338</f>
        <v>43200</v>
      </c>
      <c r="Y646" s="7" t="s">
        <v>747</v>
      </c>
      <c r="Z646" s="7" t="s">
        <v>1165</v>
      </c>
      <c r="AA646" s="7" t="s">
        <v>143</v>
      </c>
      <c r="AB646" s="21" t="s">
        <v>2345</v>
      </c>
      <c r="AC646" s="6" t="s">
        <v>2438</v>
      </c>
      <c r="AD646" s="6"/>
    </row>
    <row r="647" spans="1:30" ht="69.95" customHeight="1">
      <c r="A647" s="34">
        <v>10</v>
      </c>
      <c r="B647" s="7">
        <v>2018</v>
      </c>
      <c r="C647" s="7" t="s">
        <v>62</v>
      </c>
      <c r="D647" s="6" t="str">
        <f>'[1]V, inciso o) (OP)'!C339</f>
        <v>DOPI-MUN-RM-PAV-AD-010-2018</v>
      </c>
      <c r="E647" s="10">
        <f>'[1]V, inciso o) (OP)'!V339</f>
        <v>43145</v>
      </c>
      <c r="F647" s="32" t="str">
        <f>'[1]V, inciso o) (OP)'!AA339</f>
        <v>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1.</v>
      </c>
      <c r="G647" s="6" t="s">
        <v>63</v>
      </c>
      <c r="H647" s="25">
        <v>1418299.12</v>
      </c>
      <c r="I647" s="6" t="s">
        <v>308</v>
      </c>
      <c r="J647" s="6" t="str">
        <f>'[1]V, inciso o) (OP)'!M339</f>
        <v xml:space="preserve">ELIZABETH </v>
      </c>
      <c r="K647" s="6" t="str">
        <f>'[1]V, inciso o) (OP)'!N339</f>
        <v xml:space="preserve">DELGADO </v>
      </c>
      <c r="L647" s="6" t="str">
        <f>'[1]V, inciso o) (OP)'!O339</f>
        <v>NAVARRO</v>
      </c>
      <c r="M647" s="6" t="s">
        <v>3246</v>
      </c>
      <c r="N647" s="6" t="str">
        <f>'[1]V, inciso o) (OP)'!Q339</f>
        <v>MSC090401AZ0</v>
      </c>
      <c r="O647" s="11">
        <f t="shared" si="16"/>
        <v>1418299.12</v>
      </c>
      <c r="P647" s="11">
        <v>1418299.01</v>
      </c>
      <c r="Q647" s="14" t="s">
        <v>1166</v>
      </c>
      <c r="R647" s="15">
        <f>O647/1284</f>
        <v>1104.5943302180685</v>
      </c>
      <c r="S647" s="7" t="s">
        <v>41</v>
      </c>
      <c r="T647" s="12">
        <v>2012</v>
      </c>
      <c r="U647" s="13" t="s">
        <v>42</v>
      </c>
      <c r="V647" s="7" t="s">
        <v>43</v>
      </c>
      <c r="W647" s="10">
        <f>'[1]V, inciso o) (OP)'!AD339</f>
        <v>43146</v>
      </c>
      <c r="X647" s="10">
        <f>'[1]V, inciso o) (OP)'!AE339</f>
        <v>43190</v>
      </c>
      <c r="Y647" s="7" t="s">
        <v>859</v>
      </c>
      <c r="Z647" s="7" t="s">
        <v>860</v>
      </c>
      <c r="AA647" s="7" t="s">
        <v>861</v>
      </c>
      <c r="AB647" s="21" t="s">
        <v>2346</v>
      </c>
      <c r="AC647" s="6" t="s">
        <v>2438</v>
      </c>
      <c r="AD647" s="6"/>
    </row>
    <row r="648" spans="1:30" ht="69.95" customHeight="1">
      <c r="A648" s="34">
        <v>11</v>
      </c>
      <c r="B648" s="7">
        <v>2018</v>
      </c>
      <c r="C648" s="7" t="s">
        <v>62</v>
      </c>
      <c r="D648" s="6" t="str">
        <f>'[1]V, inciso o) (OP)'!C340</f>
        <v>DOPI-MUN-RM-OC-AD-011-2018</v>
      </c>
      <c r="E648" s="10">
        <f>'[1]V, inciso o) (OP)'!V340</f>
        <v>43145</v>
      </c>
      <c r="F648" s="6" t="str">
        <f>'[1]V, inciso o) (OP)'!AA340</f>
        <v>Obras emergentes de rehabilitación de muros, plantillas y elementos estructurales en al arroyo Garabato, zona El Briseño, municipio de Zapopan, Jalisco.</v>
      </c>
      <c r="G648" s="6" t="s">
        <v>63</v>
      </c>
      <c r="H648" s="25">
        <v>916528.42</v>
      </c>
      <c r="I648" s="6" t="s">
        <v>720</v>
      </c>
      <c r="J648" s="6" t="str">
        <f>'[1]V, inciso o) (OP)'!M340</f>
        <v>ELBA</v>
      </c>
      <c r="K648" s="6" t="str">
        <f>'[1]V, inciso o) (OP)'!N340</f>
        <v xml:space="preserve">GONZÁLEZ </v>
      </c>
      <c r="L648" s="6" t="str">
        <f>'[1]V, inciso o) (OP)'!O340</f>
        <v>AGUIRRE</v>
      </c>
      <c r="M648" s="6" t="s">
        <v>2089</v>
      </c>
      <c r="N648" s="6" t="str">
        <f>'[1]V, inciso o) (OP)'!Q340</f>
        <v>GUR120612P22</v>
      </c>
      <c r="O648" s="11">
        <f t="shared" si="16"/>
        <v>916528.42</v>
      </c>
      <c r="P648" s="11">
        <v>239987.4</v>
      </c>
      <c r="Q648" s="14" t="s">
        <v>1167</v>
      </c>
      <c r="R648" s="15">
        <f>O648/3165</f>
        <v>289.58243917851502</v>
      </c>
      <c r="S648" s="7" t="s">
        <v>41</v>
      </c>
      <c r="T648" s="12">
        <v>3863</v>
      </c>
      <c r="U648" s="13" t="s">
        <v>42</v>
      </c>
      <c r="V648" s="7" t="s">
        <v>43</v>
      </c>
      <c r="W648" s="10">
        <f>'[1]V, inciso o) (OP)'!AD340</f>
        <v>43146</v>
      </c>
      <c r="X648" s="10">
        <f>'[1]V, inciso o) (OP)'!AE340</f>
        <v>43195</v>
      </c>
      <c r="Y648" s="7" t="s">
        <v>808</v>
      </c>
      <c r="Z648" s="7" t="s">
        <v>944</v>
      </c>
      <c r="AA648" s="7" t="s">
        <v>945</v>
      </c>
      <c r="AB648" s="21" t="s">
        <v>2347</v>
      </c>
      <c r="AC648" s="6" t="s">
        <v>2438</v>
      </c>
      <c r="AD648" s="6"/>
    </row>
    <row r="649" spans="1:30" ht="69.95" customHeight="1">
      <c r="A649" s="34">
        <v>12</v>
      </c>
      <c r="B649" s="7">
        <v>2018</v>
      </c>
      <c r="C649" s="7" t="s">
        <v>62</v>
      </c>
      <c r="D649" s="6" t="str">
        <f>'[1]V, inciso o) (OP)'!C341</f>
        <v>DOPI-MUN-RM-IH-AD-012-2018</v>
      </c>
      <c r="E649" s="10">
        <f>'[1]V, inciso o) (OP)'!V341</f>
        <v>43145</v>
      </c>
      <c r="F649" s="6" t="str">
        <f>'[1]V, inciso o) (OP)'!AA341</f>
        <v>Construcción de colector pluvial en Boulevard del Rodeo, de la calle Juan Pablo II a calle Escorial, municipio de Zapopan, Jalisco, frente 1.</v>
      </c>
      <c r="G649" s="6" t="s">
        <v>63</v>
      </c>
      <c r="H649" s="25">
        <v>1159873.06</v>
      </c>
      <c r="I649" s="6" t="s">
        <v>1168</v>
      </c>
      <c r="J649" s="6" t="str">
        <f>'[1]V, inciso o) (OP)'!M341</f>
        <v>ALFREDO</v>
      </c>
      <c r="K649" s="6" t="str">
        <f>'[1]V, inciso o) (OP)'!N341</f>
        <v>AGUIRRE</v>
      </c>
      <c r="L649" s="6" t="str">
        <f>'[1]V, inciso o) (OP)'!O341</f>
        <v>MONTOYA</v>
      </c>
      <c r="M649" s="6" t="s">
        <v>2113</v>
      </c>
      <c r="N649" s="6" t="str">
        <f>'[1]V, inciso o) (OP)'!Q341</f>
        <v>TAI920312952</v>
      </c>
      <c r="O649" s="11">
        <f t="shared" si="16"/>
        <v>1159873.06</v>
      </c>
      <c r="P649" s="11">
        <v>1159872.9752</v>
      </c>
      <c r="Q649" s="14" t="s">
        <v>1169</v>
      </c>
      <c r="R649" s="15">
        <f>O649/524</f>
        <v>2213.4982061068704</v>
      </c>
      <c r="S649" s="7" t="s">
        <v>41</v>
      </c>
      <c r="T649" s="12">
        <v>1256</v>
      </c>
      <c r="U649" s="13" t="s">
        <v>42</v>
      </c>
      <c r="V649" s="43" t="s">
        <v>43</v>
      </c>
      <c r="W649" s="10">
        <f>'[1]V, inciso o) (OP)'!AD341</f>
        <v>43146</v>
      </c>
      <c r="X649" s="10">
        <f>'[1]V, inciso o) (OP)'!AE341</f>
        <v>43190</v>
      </c>
      <c r="Y649" s="7" t="s">
        <v>402</v>
      </c>
      <c r="Z649" s="7" t="s">
        <v>1159</v>
      </c>
      <c r="AA649" s="7" t="s">
        <v>1160</v>
      </c>
      <c r="AB649" s="21" t="s">
        <v>2348</v>
      </c>
      <c r="AC649" s="6" t="s">
        <v>2438</v>
      </c>
      <c r="AD649" s="6"/>
    </row>
    <row r="650" spans="1:30" ht="69.95" customHeight="1">
      <c r="A650" s="34">
        <v>13</v>
      </c>
      <c r="B650" s="7">
        <v>2018</v>
      </c>
      <c r="C650" s="7" t="s">
        <v>62</v>
      </c>
      <c r="D650" s="6" t="str">
        <f>'[1]V, inciso o) (OP)'!C342</f>
        <v>DOPI-MUN-RM-ID-AD-013-2018</v>
      </c>
      <c r="E650" s="10">
        <f>'[1]V, inciso o) (OP)'!V342</f>
        <v>43145</v>
      </c>
      <c r="F650" s="6" t="str">
        <f>'[1]V, inciso o) (OP)'!AA342</f>
        <v>Instalación de pasto sintético en cancha de futbol y en área de juegos en la unidad santa margarita.</v>
      </c>
      <c r="G650" s="6" t="s">
        <v>63</v>
      </c>
      <c r="H650" s="25">
        <v>1710451.6</v>
      </c>
      <c r="I650" s="6" t="s">
        <v>609</v>
      </c>
      <c r="J650" s="6" t="str">
        <f>'[1]V, inciso o) (OP)'!M342</f>
        <v xml:space="preserve">EDUARDO </v>
      </c>
      <c r="K650" s="6" t="str">
        <f>'[1]V, inciso o) (OP)'!N342</f>
        <v>CRUZ</v>
      </c>
      <c r="L650" s="6" t="str">
        <f>'[1]V, inciso o) (OP)'!O342</f>
        <v>MOGUEL</v>
      </c>
      <c r="M650" s="6" t="s">
        <v>1941</v>
      </c>
      <c r="N650" s="6" t="str">
        <f>'[1]V, inciso o) (OP)'!Q342</f>
        <v>BAL990803661</v>
      </c>
      <c r="O650" s="11">
        <f t="shared" si="16"/>
        <v>1710451.6</v>
      </c>
      <c r="P650" s="11">
        <v>1623432.27</v>
      </c>
      <c r="Q650" s="14" t="s">
        <v>1170</v>
      </c>
      <c r="R650" s="15">
        <f>O650/4758</f>
        <v>359.48961748633883</v>
      </c>
      <c r="S650" s="7" t="s">
        <v>41</v>
      </c>
      <c r="T650" s="12">
        <v>3699</v>
      </c>
      <c r="U650" s="13" t="s">
        <v>42</v>
      </c>
      <c r="V650" s="7" t="s">
        <v>43</v>
      </c>
      <c r="W650" s="10">
        <f>'[1]V, inciso o) (OP)'!AD342</f>
        <v>43146</v>
      </c>
      <c r="X650" s="10">
        <f>'[1]V, inciso o) (OP)'!AE342</f>
        <v>43190</v>
      </c>
      <c r="Y650" s="7" t="s">
        <v>703</v>
      </c>
      <c r="Z650" s="7" t="s">
        <v>1171</v>
      </c>
      <c r="AA650" s="7" t="s">
        <v>605</v>
      </c>
      <c r="AB650" s="21" t="s">
        <v>2349</v>
      </c>
      <c r="AC650" s="6" t="s">
        <v>2438</v>
      </c>
      <c r="AD650" s="6"/>
    </row>
    <row r="651" spans="1:30" ht="69.95" customHeight="1">
      <c r="A651" s="34">
        <v>14</v>
      </c>
      <c r="B651" s="7">
        <v>2018</v>
      </c>
      <c r="C651" s="7" t="s">
        <v>62</v>
      </c>
      <c r="D651" s="6" t="str">
        <f>'[1]V, inciso o) (OP)'!C343</f>
        <v>DOPI-MUN-RM-ID-AD-014-2018</v>
      </c>
      <c r="E651" s="10">
        <f>'[1]V, inciso o) (OP)'!V343</f>
        <v>43145</v>
      </c>
      <c r="F651" s="6" t="str">
        <f>'[1]V, inciso o) (OP)'!AA343</f>
        <v>Construcción de losa de cimentación y graderías en la zona de canchas en la unidad deportiva santa margarita.</v>
      </c>
      <c r="G651" s="6" t="s">
        <v>63</v>
      </c>
      <c r="H651" s="25">
        <v>1117278.06</v>
      </c>
      <c r="I651" s="6" t="s">
        <v>609</v>
      </c>
      <c r="J651" s="6" t="str">
        <f>'[1]V, inciso o) (OP)'!M343</f>
        <v xml:space="preserve"> MARTHA </v>
      </c>
      <c r="K651" s="6" t="str">
        <f>'[1]V, inciso o) (OP)'!N343</f>
        <v>JIMÉNEZ</v>
      </c>
      <c r="L651" s="6" t="str">
        <f>'[1]V, inciso o) (OP)'!O343</f>
        <v>LÓPEZ</v>
      </c>
      <c r="M651" s="6" t="s">
        <v>1936</v>
      </c>
      <c r="N651" s="6" t="str">
        <f>'[1]V, inciso o) (OP)'!Q343</f>
        <v>IBO090918ET9</v>
      </c>
      <c r="O651" s="11">
        <f t="shared" si="16"/>
        <v>1117278.06</v>
      </c>
      <c r="P651" s="11">
        <v>1116092.73</v>
      </c>
      <c r="Q651" s="14" t="s">
        <v>1172</v>
      </c>
      <c r="R651" s="15">
        <f>O651/303</f>
        <v>3687.3863366336636</v>
      </c>
      <c r="S651" s="7" t="s">
        <v>41</v>
      </c>
      <c r="T651" s="12">
        <v>3699</v>
      </c>
      <c r="U651" s="13" t="s">
        <v>42</v>
      </c>
      <c r="V651" s="7" t="s">
        <v>43</v>
      </c>
      <c r="W651" s="10">
        <f>'[1]V, inciso o) (OP)'!AD343</f>
        <v>43146</v>
      </c>
      <c r="X651" s="10">
        <f>'[1]V, inciso o) (OP)'!AE343</f>
        <v>43190</v>
      </c>
      <c r="Y651" s="7" t="s">
        <v>703</v>
      </c>
      <c r="Z651" s="7" t="s">
        <v>1171</v>
      </c>
      <c r="AA651" s="7" t="s">
        <v>605</v>
      </c>
      <c r="AB651" s="21" t="s">
        <v>2350</v>
      </c>
      <c r="AC651" s="6" t="s">
        <v>2438</v>
      </c>
      <c r="AD651" s="6"/>
    </row>
    <row r="652" spans="1:30" ht="69.95" customHeight="1">
      <c r="A652" s="34">
        <v>15</v>
      </c>
      <c r="B652" s="7">
        <v>2018</v>
      </c>
      <c r="C652" s="7" t="s">
        <v>62</v>
      </c>
      <c r="D652" s="20" t="s">
        <v>2437</v>
      </c>
      <c r="E652" s="10">
        <f>'[1]V, inciso o) (OP)'!V344</f>
        <v>43145</v>
      </c>
      <c r="F652" s="6" t="str">
        <f>'[1]V, inciso o) (OP)'!AA344</f>
        <v>Construcción de red de drenaje sanitario, red de agua potable e infraestructura pluvial en calle 16 de Septiembre de calle Angulo a la Av. 5 de Mayo, en San Juan de Ocotán, municipio de Zapopan, Jalisco.</v>
      </c>
      <c r="G652" s="6" t="s">
        <v>63</v>
      </c>
      <c r="H652" s="25">
        <v>1246722.68</v>
      </c>
      <c r="I652" s="6" t="s">
        <v>1173</v>
      </c>
      <c r="J652" s="6" t="str">
        <f>'[1]V, inciso o) (OP)'!M344</f>
        <v>DAVID SERGIO</v>
      </c>
      <c r="K652" s="6" t="str">
        <f>'[1]V, inciso o) (OP)'!N344</f>
        <v>DOMINGUEZ</v>
      </c>
      <c r="L652" s="6" t="str">
        <f>'[1]V, inciso o) (OP)'!O344</f>
        <v>MEZA</v>
      </c>
      <c r="M652" s="6" t="s">
        <v>3170</v>
      </c>
      <c r="N652" s="6" t="str">
        <f>'[1]V, inciso o) (OP)'!Q344</f>
        <v>VCO9412201J0</v>
      </c>
      <c r="O652" s="11">
        <f t="shared" si="16"/>
        <v>1246722.68</v>
      </c>
      <c r="P652" s="11">
        <f>O652</f>
        <v>1246722.68</v>
      </c>
      <c r="Q652" s="14" t="s">
        <v>1174</v>
      </c>
      <c r="R652" s="15">
        <f>O652/97</f>
        <v>12852.811134020618</v>
      </c>
      <c r="S652" s="7" t="s">
        <v>41</v>
      </c>
      <c r="T652" s="12">
        <v>864</v>
      </c>
      <c r="U652" s="13" t="s">
        <v>42</v>
      </c>
      <c r="V652" s="7" t="s">
        <v>373</v>
      </c>
      <c r="W652" s="10">
        <f>'[1]V, inciso o) (OP)'!AD344</f>
        <v>43146</v>
      </c>
      <c r="X652" s="10">
        <f>'[1]V, inciso o) (OP)'!AE344</f>
        <v>43200</v>
      </c>
      <c r="Y652" s="7" t="s">
        <v>317</v>
      </c>
      <c r="Z652" s="7" t="s">
        <v>191</v>
      </c>
      <c r="AA652" s="7" t="s">
        <v>192</v>
      </c>
      <c r="AB652" s="21" t="s">
        <v>2351</v>
      </c>
      <c r="AC652" s="6" t="s">
        <v>2438</v>
      </c>
      <c r="AD652" s="6"/>
    </row>
    <row r="653" spans="1:30" ht="69.95" customHeight="1">
      <c r="A653" s="34">
        <v>16</v>
      </c>
      <c r="B653" s="7">
        <v>2018</v>
      </c>
      <c r="C653" s="7" t="s">
        <v>62</v>
      </c>
      <c r="D653" s="6" t="str">
        <f>'[1]V, inciso o) (OP)'!C345</f>
        <v>DOPI-MUN-RM-PAV-AD-016-2018</v>
      </c>
      <c r="E653" s="10">
        <f>'[1]V, inciso o) (OP)'!V345</f>
        <v>43153</v>
      </c>
      <c r="F653" s="32" t="str">
        <f>'[1]V, inciso o) (OP)'!AA345</f>
        <v>Pavimentación de vialidad Prolongación Guadalupe, de calle Prolongación Galindo a calle Puerto Chamela, en la colonia Miramar, incluye: red de agua potable, red de drenaje sanitario, banquetas, peatonalización, señalamiento y obras complementarias, municipio de Zapopan, Jalisco.</v>
      </c>
      <c r="G653" s="6" t="s">
        <v>63</v>
      </c>
      <c r="H653" s="25">
        <v>1721356.6</v>
      </c>
      <c r="I653" s="6" t="s">
        <v>1175</v>
      </c>
      <c r="J653" s="6" t="str">
        <f>'[1]V, inciso o) (OP)'!M345</f>
        <v>JOSÉ OMAR</v>
      </c>
      <c r="K653" s="6" t="str">
        <f>'[1]V, inciso o) (OP)'!N345</f>
        <v>FERNÁNDEZ</v>
      </c>
      <c r="L653" s="6" t="str">
        <f>'[1]V, inciso o) (OP)'!O345</f>
        <v>VÁZQUEZ</v>
      </c>
      <c r="M653" s="6" t="s">
        <v>3174</v>
      </c>
      <c r="N653" s="6" t="str">
        <f>'[1]V, inciso o) (OP)'!Q345</f>
        <v>ECO0908115Z7</v>
      </c>
      <c r="O653" s="11">
        <f t="shared" si="16"/>
        <v>1721356.6</v>
      </c>
      <c r="P653" s="11">
        <v>1701777.6900000002</v>
      </c>
      <c r="Q653" s="14" t="s">
        <v>111</v>
      </c>
      <c r="R653" s="15">
        <f>O653/850</f>
        <v>2025.1254117647061</v>
      </c>
      <c r="S653" s="7" t="s">
        <v>41</v>
      </c>
      <c r="T653" s="12">
        <v>635</v>
      </c>
      <c r="U653" s="13" t="s">
        <v>42</v>
      </c>
      <c r="V653" s="7" t="s">
        <v>43</v>
      </c>
      <c r="W653" s="10">
        <f>'[1]V, inciso o) (OP)'!AD345</f>
        <v>43154</v>
      </c>
      <c r="X653" s="10">
        <f>'[1]V, inciso o) (OP)'!AE345</f>
        <v>43190</v>
      </c>
      <c r="Y653" s="7" t="s">
        <v>722</v>
      </c>
      <c r="Z653" s="7" t="s">
        <v>231</v>
      </c>
      <c r="AA653" s="7" t="s">
        <v>143</v>
      </c>
      <c r="AB653" s="21" t="s">
        <v>2352</v>
      </c>
      <c r="AC653" s="6" t="s">
        <v>2438</v>
      </c>
      <c r="AD653" s="6"/>
    </row>
    <row r="654" spans="1:30" ht="69.95" customHeight="1">
      <c r="A654" s="34">
        <v>17</v>
      </c>
      <c r="B654" s="7">
        <v>2018</v>
      </c>
      <c r="C654" s="7" t="s">
        <v>62</v>
      </c>
      <c r="D654" s="6" t="str">
        <f>'[1]V, inciso o) (OP)'!C346</f>
        <v>DOPI-MUN-RM-ID-AD-017-2018</v>
      </c>
      <c r="E654" s="10">
        <f>'[1]V, inciso o) (OP)'!V346</f>
        <v>43159</v>
      </c>
      <c r="F654" s="32" t="str">
        <f>'[1]V, inciso o) (OP)'!AA346</f>
        <v>Construcción de gimnasio al aire libre, incluye peatonalización, equipos, mobiliario urbano e iluminación en el camellón de la Prolongación Acueducto, entre Calzada Federalistas y Av. del Valle, en la colonia Jardines del Valle, municipio de Zapopan, Jalisco.</v>
      </c>
      <c r="G654" s="6" t="s">
        <v>63</v>
      </c>
      <c r="H654" s="25">
        <v>608405.23</v>
      </c>
      <c r="I654" s="6" t="s">
        <v>1176</v>
      </c>
      <c r="J654" s="6" t="str">
        <f>'[1]V, inciso o) (OP)'!M346</f>
        <v>JOSÉ DE JESÚS</v>
      </c>
      <c r="K654" s="6" t="str">
        <f>'[1]V, inciso o) (OP)'!N346</f>
        <v>ROMERO</v>
      </c>
      <c r="L654" s="6" t="str">
        <f>'[1]V, inciso o) (OP)'!O346</f>
        <v>GARCÍA</v>
      </c>
      <c r="M654" s="6" t="s">
        <v>1837</v>
      </c>
      <c r="N654" s="6" t="str">
        <f>'[1]V, inciso o) (OP)'!Q346</f>
        <v>URC160310857</v>
      </c>
      <c r="O654" s="11">
        <f t="shared" si="16"/>
        <v>608405.23</v>
      </c>
      <c r="P654" s="11">
        <v>313714.32999999996</v>
      </c>
      <c r="Q654" s="14" t="s">
        <v>1177</v>
      </c>
      <c r="R654" s="15">
        <f>O654/779</f>
        <v>781.00799743260586</v>
      </c>
      <c r="S654" s="7" t="s">
        <v>41</v>
      </c>
      <c r="T654" s="12">
        <v>12630</v>
      </c>
      <c r="U654" s="13" t="s">
        <v>42</v>
      </c>
      <c r="V654" s="7" t="s">
        <v>43</v>
      </c>
      <c r="W654" s="10">
        <f>'[1]V, inciso o) (OP)'!AD346</f>
        <v>43160</v>
      </c>
      <c r="X654" s="10">
        <f>'[1]V, inciso o) (OP)'!AE346</f>
        <v>43205</v>
      </c>
      <c r="Y654" s="7" t="s">
        <v>360</v>
      </c>
      <c r="Z654" s="7" t="s">
        <v>361</v>
      </c>
      <c r="AA654" s="7" t="s">
        <v>362</v>
      </c>
      <c r="AB654" s="21" t="s">
        <v>2353</v>
      </c>
      <c r="AC654" s="6" t="s">
        <v>2438</v>
      </c>
      <c r="AD654" s="6"/>
    </row>
    <row r="655" spans="1:30" ht="69.95" customHeight="1">
      <c r="A655" s="34">
        <v>18</v>
      </c>
      <c r="B655" s="7">
        <v>2018</v>
      </c>
      <c r="C655" s="7" t="s">
        <v>62</v>
      </c>
      <c r="D655" s="6" t="str">
        <f>'[1]V, inciso o) (OP)'!C347</f>
        <v>DOPI-MUN-RM-ID-AD-018-2018</v>
      </c>
      <c r="E655" s="10">
        <f>'[1]V, inciso o) (OP)'!V347</f>
        <v>43164</v>
      </c>
      <c r="F655" s="6" t="str">
        <f>'[1]V, inciso o) (OP)'!AA347</f>
        <v>Obra complementaria para la terminación de módulo de baños en el Centro Acuático y rehabilitación de baños públicos en Unidad Deportiva Francisco Villa, municipio de Zapopan, Jalisco.</v>
      </c>
      <c r="G655" s="6" t="s">
        <v>63</v>
      </c>
      <c r="H655" s="25">
        <v>1250031.24</v>
      </c>
      <c r="I655" s="6" t="s">
        <v>1178</v>
      </c>
      <c r="J655" s="6" t="str">
        <f>'[1]V, inciso o) (OP)'!M347</f>
        <v xml:space="preserve">ARTURO </v>
      </c>
      <c r="K655" s="6" t="str">
        <f>'[1]V, inciso o) (OP)'!N347</f>
        <v>DISTANCIA</v>
      </c>
      <c r="L655" s="6" t="str">
        <f>'[1]V, inciso o) (OP)'!O347</f>
        <v>SÁNCHEZ</v>
      </c>
      <c r="M655" s="6" t="s">
        <v>3098</v>
      </c>
      <c r="N655" s="6" t="str">
        <f>'[1]V, inciso o) (OP)'!Q347</f>
        <v>JCO160413SK4</v>
      </c>
      <c r="O655" s="11">
        <f t="shared" si="16"/>
        <v>1250031.24</v>
      </c>
      <c r="P655" s="11">
        <v>1250031.25</v>
      </c>
      <c r="Q655" s="14" t="s">
        <v>1179</v>
      </c>
      <c r="R655" s="15">
        <f>O655/175</f>
        <v>7143.0356571428574</v>
      </c>
      <c r="S655" s="7" t="s">
        <v>41</v>
      </c>
      <c r="T655" s="12">
        <v>6984</v>
      </c>
      <c r="U655" s="13" t="s">
        <v>42</v>
      </c>
      <c r="V655" s="7" t="s">
        <v>43</v>
      </c>
      <c r="W655" s="10">
        <f>'[1]V, inciso o) (OP)'!AD347</f>
        <v>43164</v>
      </c>
      <c r="X655" s="10">
        <f>'[1]V, inciso o) (OP)'!AE347</f>
        <v>43220</v>
      </c>
      <c r="Y655" s="7" t="s">
        <v>838</v>
      </c>
      <c r="Z655" s="7" t="s">
        <v>447</v>
      </c>
      <c r="AA655" s="7" t="s">
        <v>448</v>
      </c>
      <c r="AB655" s="21" t="s">
        <v>2354</v>
      </c>
      <c r="AC655" s="6" t="s">
        <v>2438</v>
      </c>
      <c r="AD655" s="6"/>
    </row>
    <row r="656" spans="1:30" ht="69.95" customHeight="1">
      <c r="A656" s="34">
        <v>19</v>
      </c>
      <c r="B656" s="7">
        <v>2018</v>
      </c>
      <c r="C656" s="7" t="s">
        <v>62</v>
      </c>
      <c r="D656" s="6" t="str">
        <f>'[1]V, inciso o) (OP)'!C348</f>
        <v>DOPI-MUN-RM-IM-AD-019-2018</v>
      </c>
      <c r="E656" s="10">
        <f>'[1]V, inciso o) (OP)'!V348</f>
        <v>43164</v>
      </c>
      <c r="F656" s="6" t="str">
        <f>'[1]V, inciso o) (OP)'!AA348</f>
        <v>Obra complementaria del centro comunitario, Centro de Emprendimiento, en la colonia Miramar, municipio de Zapopan, Jalisco.</v>
      </c>
      <c r="G656" s="6" t="s">
        <v>63</v>
      </c>
      <c r="H656" s="25">
        <v>715434.62</v>
      </c>
      <c r="I656" s="6" t="s">
        <v>1175</v>
      </c>
      <c r="J656" s="6" t="str">
        <f>'[1]V, inciso o) (OP)'!M348</f>
        <v>GUSTAVO ALEJANDRO</v>
      </c>
      <c r="K656" s="6" t="str">
        <f>'[1]V, inciso o) (OP)'!N348</f>
        <v>LEDEZMA</v>
      </c>
      <c r="L656" s="6" t="str">
        <f>'[1]V, inciso o) (OP)'!O348</f>
        <v xml:space="preserve"> CERVANTES</v>
      </c>
      <c r="M656" s="6" t="s">
        <v>2266</v>
      </c>
      <c r="N656" s="6" t="str">
        <f>'[1]V, inciso o) (OP)'!Q348</f>
        <v>EPR131016I71</v>
      </c>
      <c r="O656" s="11">
        <f t="shared" si="16"/>
        <v>715434.62</v>
      </c>
      <c r="P656" s="11">
        <v>618363.47</v>
      </c>
      <c r="Q656" s="14" t="s">
        <v>1180</v>
      </c>
      <c r="R656" s="15">
        <f>O656/700</f>
        <v>1022.0494571428571</v>
      </c>
      <c r="S656" s="7" t="s">
        <v>41</v>
      </c>
      <c r="T656" s="12">
        <v>15236</v>
      </c>
      <c r="U656" s="13" t="s">
        <v>42</v>
      </c>
      <c r="V656" s="43" t="s">
        <v>43</v>
      </c>
      <c r="W656" s="10">
        <f>'[1]V, inciso o) (OP)'!AD348</f>
        <v>43164</v>
      </c>
      <c r="X656" s="10">
        <f>'[1]V, inciso o) (OP)'!AE348</f>
        <v>43205</v>
      </c>
      <c r="Y656" s="7" t="s">
        <v>838</v>
      </c>
      <c r="Z656" s="7" t="s">
        <v>447</v>
      </c>
      <c r="AA656" s="7" t="s">
        <v>448</v>
      </c>
      <c r="AB656" s="21" t="s">
        <v>2355</v>
      </c>
      <c r="AC656" s="6" t="s">
        <v>2438</v>
      </c>
      <c r="AD656" s="6"/>
    </row>
    <row r="657" spans="1:30" ht="69.95" customHeight="1">
      <c r="A657" s="34">
        <v>20</v>
      </c>
      <c r="B657" s="7">
        <v>2018</v>
      </c>
      <c r="C657" s="7" t="s">
        <v>62</v>
      </c>
      <c r="D657" s="6" t="str">
        <f>'[1]V, inciso o) (OP)'!C349</f>
        <v>DOPI-MUN-RM-IM-AD-020-2018</v>
      </c>
      <c r="E657" s="10">
        <f>'[1]V, inciso o) (OP)'!V349</f>
        <v>43171</v>
      </c>
      <c r="F657" s="6" t="str">
        <f>'[1]V, inciso o) (OP)'!AA349</f>
        <v>Construcción de Parkour y estacionamiento en la Unidad Santa Margarita, municipio de Zapopan, Jalisco.</v>
      </c>
      <c r="G657" s="6" t="s">
        <v>63</v>
      </c>
      <c r="H657" s="25">
        <v>1236680.3400000001</v>
      </c>
      <c r="I657" s="6" t="s">
        <v>609</v>
      </c>
      <c r="J657" s="6" t="str">
        <f>'[1]V, inciso o) (OP)'!M349</f>
        <v xml:space="preserve">MARCO ANTONIO </v>
      </c>
      <c r="K657" s="6" t="str">
        <f>'[1]V, inciso o) (OP)'!N349</f>
        <v>LOZANO</v>
      </c>
      <c r="L657" s="6" t="str">
        <f>'[1]V, inciso o) (OP)'!O349</f>
        <v>ESTRADA</v>
      </c>
      <c r="M657" s="6" t="s">
        <v>3180</v>
      </c>
      <c r="N657" s="6" t="str">
        <f>'[1]V, inciso o) (OP)'!Q349</f>
        <v>DFU090928JB5</v>
      </c>
      <c r="O657" s="11">
        <f t="shared" si="16"/>
        <v>1236680.3400000001</v>
      </c>
      <c r="P657" s="11">
        <v>945487.21</v>
      </c>
      <c r="Q657" s="14" t="s">
        <v>1181</v>
      </c>
      <c r="R657" s="15">
        <f>O657/550</f>
        <v>2248.5097090909094</v>
      </c>
      <c r="S657" s="7" t="s">
        <v>41</v>
      </c>
      <c r="T657" s="12">
        <v>3204</v>
      </c>
      <c r="U657" s="13" t="s">
        <v>42</v>
      </c>
      <c r="V657" s="7" t="s">
        <v>43</v>
      </c>
      <c r="W657" s="10">
        <f>'[1]V, inciso o) (OP)'!AD349</f>
        <v>43171</v>
      </c>
      <c r="X657" s="10">
        <f>'[1]V, inciso o) (OP)'!AE349</f>
        <v>43220</v>
      </c>
      <c r="Y657" s="7" t="s">
        <v>603</v>
      </c>
      <c r="Z657" s="7" t="s">
        <v>604</v>
      </c>
      <c r="AA657" s="7" t="s">
        <v>605</v>
      </c>
      <c r="AB657" s="21" t="s">
        <v>2356</v>
      </c>
      <c r="AC657" s="6" t="s">
        <v>2438</v>
      </c>
      <c r="AD657" s="6"/>
    </row>
    <row r="658" spans="1:30" ht="69.95" customHeight="1">
      <c r="A658" s="34">
        <v>21</v>
      </c>
      <c r="B658" s="7">
        <v>2018</v>
      </c>
      <c r="C658" s="7" t="s">
        <v>62</v>
      </c>
      <c r="D658" s="6" t="str">
        <f>'[1]V, inciso o) (OP)'!C350</f>
        <v>DOPI-MUN-RM-IE-AD-021-2018</v>
      </c>
      <c r="E658" s="10">
        <f>'[1]V, inciso o) (OP)'!V350</f>
        <v>43164</v>
      </c>
      <c r="F658" s="6" t="str">
        <f>'[1]V, inciso o) (OP)'!AA350</f>
        <v>Reforzamiento complementario de estructuras de protección de rayos ultravioleta en los planteles educativos: Secundaria José Antonio Torres (14DE50017T) y Carlos González Peña (14EPR1341C), municipio de Zapopan, Jalisco.</v>
      </c>
      <c r="G658" s="6" t="s">
        <v>63</v>
      </c>
      <c r="H658" s="25">
        <v>1091791.78</v>
      </c>
      <c r="I658" s="6" t="s">
        <v>1182</v>
      </c>
      <c r="J658" s="6" t="str">
        <f>'[1]V, inciso o) (OP)'!M350</f>
        <v>ARTURO RAFAEL</v>
      </c>
      <c r="K658" s="6" t="str">
        <f>'[1]V, inciso o) (OP)'!N350</f>
        <v>SALAZAR</v>
      </c>
      <c r="L658" s="6" t="str">
        <f>'[1]V, inciso o) (OP)'!O350</f>
        <v>MARTÍN DEL CAMPO</v>
      </c>
      <c r="M658" s="6" t="s">
        <v>3242</v>
      </c>
      <c r="N658" s="6" t="str">
        <f>'[1]V, inciso o) (OP)'!Q350</f>
        <v>KCO030922UM6</v>
      </c>
      <c r="O658" s="11">
        <f t="shared" si="16"/>
        <v>1091791.78</v>
      </c>
      <c r="P658" s="11">
        <v>1025707.78</v>
      </c>
      <c r="Q658" s="14" t="s">
        <v>598</v>
      </c>
      <c r="R658" s="15">
        <f>O658/1035</f>
        <v>1054.8712850241545</v>
      </c>
      <c r="S658" s="7" t="s">
        <v>41</v>
      </c>
      <c r="T658" s="12">
        <v>1052</v>
      </c>
      <c r="U658" s="13" t="s">
        <v>42</v>
      </c>
      <c r="V658" s="7" t="s">
        <v>43</v>
      </c>
      <c r="W658" s="10">
        <f>'[1]V, inciso o) (OP)'!AD350</f>
        <v>43164</v>
      </c>
      <c r="X658" s="10">
        <f>'[1]V, inciso o) (OP)'!AE350</f>
        <v>43220</v>
      </c>
      <c r="Y658" s="7" t="s">
        <v>429</v>
      </c>
      <c r="Z658" s="7" t="s">
        <v>290</v>
      </c>
      <c r="AA658" s="7" t="s">
        <v>73</v>
      </c>
      <c r="AB658" s="21" t="s">
        <v>2357</v>
      </c>
      <c r="AC658" s="6" t="s">
        <v>2438</v>
      </c>
      <c r="AD658" s="6"/>
    </row>
    <row r="659" spans="1:30" ht="69.95" customHeight="1">
      <c r="A659" s="34">
        <v>22</v>
      </c>
      <c r="B659" s="7">
        <v>2018</v>
      </c>
      <c r="C659" s="6" t="str">
        <f>'[1]V, inciso p) (OP)'!B320</f>
        <v>Licitación Pública</v>
      </c>
      <c r="D659" s="6" t="str">
        <f>'[1]V, inciso p) (OP)'!D320</f>
        <v>DOPI-MUN-RM-ID-LP-022-2018</v>
      </c>
      <c r="E659" s="10">
        <f>'[1]V, inciso p) (OP)'!AD320</f>
        <v>43245</v>
      </c>
      <c r="F659" s="32" t="str">
        <f>'[1]V, inciso p) (OP)'!AL320</f>
        <v>Rehabilitación de la Unidad Deportiva Pádel, primera etapa (rehabilitación de 4 canchas de pádel, rehabilitación de salón de usos múltiples, rehabilitación de cancha de usos múltiples, aparatos de gimnasio al aire libre, ingreso principal, rehabilitación de baños, juegos Infantiles), municipio de Zapopan, Jalisco.</v>
      </c>
      <c r="G659" s="6" t="s">
        <v>63</v>
      </c>
      <c r="H659" s="25">
        <v>4955639.1399999997</v>
      </c>
      <c r="I659" s="6" t="str">
        <f>'[1]V, inciso p) (OP)'!AS320</f>
        <v>Colonia Arcos de Guadalupe</v>
      </c>
      <c r="J659" s="6" t="str">
        <f>'[1]V, inciso p) (OP)'!T320</f>
        <v>JOSÉ ANTONIO</v>
      </c>
      <c r="K659" s="6" t="str">
        <f>'[1]V, inciso p) (OP)'!U320</f>
        <v>CISNEROS</v>
      </c>
      <c r="L659" s="6" t="str">
        <f>'[1]V, inciso p) (OP)'!V320</f>
        <v>CASTILLO</v>
      </c>
      <c r="M659" s="6" t="s">
        <v>3160</v>
      </c>
      <c r="N659" s="6" t="str">
        <f>'[1]V, inciso p) (OP)'!X320</f>
        <v>APE111122MI0</v>
      </c>
      <c r="O659" s="11">
        <f t="shared" si="16"/>
        <v>4955639.1399999997</v>
      </c>
      <c r="P659" s="11">
        <v>4421634.3</v>
      </c>
      <c r="Q659" s="19" t="s">
        <v>1183</v>
      </c>
      <c r="R659" s="15">
        <f>O659/1605</f>
        <v>3087.6256323987536</v>
      </c>
      <c r="S659" s="7" t="s">
        <v>41</v>
      </c>
      <c r="T659" s="12">
        <v>6304</v>
      </c>
      <c r="U659" s="13" t="s">
        <v>42</v>
      </c>
      <c r="V659" s="43" t="s">
        <v>43</v>
      </c>
      <c r="W659" s="10">
        <f>'[1]V, inciso p) (OP)'!AM320</f>
        <v>43245</v>
      </c>
      <c r="X659" s="10">
        <f>'[1]V, inciso p) (OP)'!AN320</f>
        <v>43334</v>
      </c>
      <c r="Y659" s="7" t="s">
        <v>780</v>
      </c>
      <c r="Z659" s="7" t="s">
        <v>973</v>
      </c>
      <c r="AA659" s="7" t="s">
        <v>159</v>
      </c>
      <c r="AB659" s="21" t="s">
        <v>2439</v>
      </c>
      <c r="AC659" s="6" t="s">
        <v>2438</v>
      </c>
      <c r="AD659" s="6"/>
    </row>
    <row r="660" spans="1:30" ht="69.95" customHeight="1">
      <c r="A660" s="34">
        <v>23</v>
      </c>
      <c r="B660" s="7">
        <v>2018</v>
      </c>
      <c r="C660" s="6" t="str">
        <f>'[1]V, inciso p) (OP)'!B321</f>
        <v>Licitación Pública</v>
      </c>
      <c r="D660" s="6" t="str">
        <f>'[1]V, inciso p) (OP)'!D321</f>
        <v>DOPI-MUN-RM-ID-LP-023-2018</v>
      </c>
      <c r="E660" s="10">
        <f>'[1]V, inciso p) (OP)'!AD321</f>
        <v>43245</v>
      </c>
      <c r="F660" s="32" t="str">
        <f>'[1]V, inciso p) (OP)'!AL321</f>
        <v>Rehabilitación de la Unidad Deportiva Moctezuma Residencial, primera etapa (pista de trote, rehabilitación de cancha de usos múltiples, rehabilitación de cancha de futbol, alumbrado, andadores, ingreso principal y cercado perimetral), municipio de Zapopan, Jalisco.</v>
      </c>
      <c r="G660" s="6" t="s">
        <v>63</v>
      </c>
      <c r="H660" s="25">
        <v>7136158.7800000003</v>
      </c>
      <c r="I660" s="6" t="str">
        <f>'[1]V, inciso p) (OP)'!AS321</f>
        <v>Colonia Moctezuma Residencial</v>
      </c>
      <c r="J660" s="6" t="str">
        <f>'[1]V, inciso p) (OP)'!T321</f>
        <v xml:space="preserve">EDUARDO </v>
      </c>
      <c r="K660" s="6" t="str">
        <f>'[1]V, inciso p) (OP)'!U321</f>
        <v>MERCADO</v>
      </c>
      <c r="L660" s="6" t="str">
        <f>'[1]V, inciso p) (OP)'!V321</f>
        <v>VÁZQUEZ</v>
      </c>
      <c r="M660" s="6" t="s">
        <v>2270</v>
      </c>
      <c r="N660" s="6" t="str">
        <f>'[1]V, inciso p) (OP)'!X321</f>
        <v>ANI1102217W2</v>
      </c>
      <c r="O660" s="11">
        <f t="shared" si="16"/>
        <v>7136158.7800000003</v>
      </c>
      <c r="P660" s="11">
        <v>7136158.6999999983</v>
      </c>
      <c r="Q660" s="19" t="s">
        <v>1184</v>
      </c>
      <c r="R660" s="15">
        <f>O660/22834</f>
        <v>312.52337654375054</v>
      </c>
      <c r="S660" s="7" t="s">
        <v>41</v>
      </c>
      <c r="T660" s="12">
        <v>6028</v>
      </c>
      <c r="U660" s="13" t="s">
        <v>42</v>
      </c>
      <c r="V660" s="43" t="s">
        <v>43</v>
      </c>
      <c r="W660" s="10">
        <f>'[1]V, inciso p) (OP)'!AM321</f>
        <v>43245</v>
      </c>
      <c r="X660" s="10">
        <f>'[1]V, inciso p) (OP)'!AN321</f>
        <v>43334</v>
      </c>
      <c r="Y660" s="7" t="s">
        <v>780</v>
      </c>
      <c r="Z660" s="7" t="s">
        <v>973</v>
      </c>
      <c r="AA660" s="7" t="s">
        <v>159</v>
      </c>
      <c r="AB660" s="21" t="s">
        <v>2440</v>
      </c>
      <c r="AC660" s="6" t="s">
        <v>2438</v>
      </c>
      <c r="AD660" s="6"/>
    </row>
    <row r="661" spans="1:30" ht="69.95" customHeight="1">
      <c r="A661" s="34">
        <v>24</v>
      </c>
      <c r="B661" s="7">
        <v>2018</v>
      </c>
      <c r="C661" s="6" t="str">
        <f>'[1]V, inciso p) (OP)'!B322</f>
        <v>Licitación Pública</v>
      </c>
      <c r="D661" s="6" t="str">
        <f>'[1]V, inciso p) (OP)'!D322</f>
        <v>DOPI-MUN-RM-PAV-LP-024-2018</v>
      </c>
      <c r="E661" s="10">
        <f>'[1]V, inciso p) (OP)'!AD322</f>
        <v>43245</v>
      </c>
      <c r="F661" s="6" t="str">
        <f>'[1]V, inciso p) (OP)'!AL322</f>
        <v>Pavimentación con concreto hidráulico de la Av. Romanos segunda etapa, incluye agua potable, drenaje, guarniciones, banquetas, servicios complementarios y señalética, en la colonia Altamira, municipio de Zapopan, Jalisco.</v>
      </c>
      <c r="G661" s="6" t="s">
        <v>63</v>
      </c>
      <c r="H661" s="25">
        <v>5801401.4000000004</v>
      </c>
      <c r="I661" s="6" t="str">
        <f>'[1]V, inciso p) (OP)'!AS322</f>
        <v>Colonia Altamira</v>
      </c>
      <c r="J661" s="6" t="str">
        <f>'[1]V, inciso p) (OP)'!T322</f>
        <v>JESÚS DAVID</v>
      </c>
      <c r="K661" s="6" t="str">
        <f>'[1]V, inciso p) (OP)'!U322</f>
        <v xml:space="preserve">GARZA </v>
      </c>
      <c r="L661" s="6" t="str">
        <f>'[1]V, inciso p) (OP)'!V322</f>
        <v>GARCÍA</v>
      </c>
      <c r="M661" s="6" t="s">
        <v>3188</v>
      </c>
      <c r="N661" s="6" t="str">
        <f>'[1]V, inciso p) (OP)'!X322</f>
        <v>CEA010615GT0</v>
      </c>
      <c r="O661" s="11">
        <f t="shared" si="16"/>
        <v>5801401.4000000004</v>
      </c>
      <c r="P661" s="11">
        <v>5801401.3899999997</v>
      </c>
      <c r="Q661" s="19" t="s">
        <v>1185</v>
      </c>
      <c r="R661" s="15">
        <f>O661/3838</f>
        <v>1511.5688900468995</v>
      </c>
      <c r="S661" s="7" t="s">
        <v>41</v>
      </c>
      <c r="T661" s="12">
        <v>1638</v>
      </c>
      <c r="U661" s="13" t="s">
        <v>42</v>
      </c>
      <c r="V661" s="43" t="s">
        <v>43</v>
      </c>
      <c r="W661" s="10">
        <f>'[1]V, inciso p) (OP)'!AM322</f>
        <v>43245</v>
      </c>
      <c r="X661" s="10">
        <f>'[1]V, inciso p) (OP)'!AN322</f>
        <v>43344</v>
      </c>
      <c r="Y661" s="7" t="s">
        <v>815</v>
      </c>
      <c r="Z661" s="7" t="s">
        <v>816</v>
      </c>
      <c r="AA661" s="7" t="s">
        <v>130</v>
      </c>
      <c r="AB661" s="21" t="s">
        <v>2441</v>
      </c>
      <c r="AC661" s="6" t="s">
        <v>2438</v>
      </c>
      <c r="AD661" s="6"/>
    </row>
    <row r="662" spans="1:30" ht="69.95" customHeight="1">
      <c r="A662" s="34">
        <v>26</v>
      </c>
      <c r="B662" s="7">
        <v>2018</v>
      </c>
      <c r="C662" s="6" t="str">
        <f>'[1]V, inciso p) (OP)'!B324</f>
        <v>Licitación Pública</v>
      </c>
      <c r="D662" s="6" t="str">
        <f>'[1]V, inciso p) (OP)'!D324</f>
        <v>DOPI-MUN-RM-IH-LP-026-2018</v>
      </c>
      <c r="E662" s="10">
        <f>'[1]V, inciso p) (OP)'!AD324</f>
        <v>43245</v>
      </c>
      <c r="F662" s="6" t="str">
        <f>'[1]V, inciso p) (OP)'!AL324</f>
        <v>Construcción de solución pluvial en la salida del fraccionamiento Bugambilias, sobre la Av. López Mateos Sur, municipio de Zapopan, Jalisco.</v>
      </c>
      <c r="G662" s="6" t="s">
        <v>63</v>
      </c>
      <c r="H662" s="25">
        <v>2211787.67</v>
      </c>
      <c r="I662" s="6" t="str">
        <f>'[1]V, inciso p) (OP)'!AS324</f>
        <v>Colonia Bugambilias</v>
      </c>
      <c r="J662" s="6" t="str">
        <f>'[1]V, inciso p) (OP)'!T324</f>
        <v>PAOLA ALEJANDRA</v>
      </c>
      <c r="K662" s="6" t="str">
        <f>'[1]V, inciso p) (OP)'!U324</f>
        <v>DIAZ</v>
      </c>
      <c r="L662" s="6" t="str">
        <f>'[1]V, inciso p) (OP)'!V324</f>
        <v>RUIZ</v>
      </c>
      <c r="M662" s="6" t="s">
        <v>2133</v>
      </c>
      <c r="N662" s="6" t="str">
        <f>'[1]V, inciso p) (OP)'!X324</f>
        <v>OCA080707FG8</v>
      </c>
      <c r="O662" s="11">
        <f t="shared" si="16"/>
        <v>2211787.67</v>
      </c>
      <c r="P662" s="11">
        <v>2013217.7200000002</v>
      </c>
      <c r="Q662" s="19" t="s">
        <v>1187</v>
      </c>
      <c r="R662" s="15">
        <f>O662/38.9</f>
        <v>56858.294858611822</v>
      </c>
      <c r="S662" s="7" t="s">
        <v>41</v>
      </c>
      <c r="T662" s="12">
        <v>652</v>
      </c>
      <c r="U662" s="13" t="s">
        <v>42</v>
      </c>
      <c r="V662" s="43" t="s">
        <v>43</v>
      </c>
      <c r="W662" s="10">
        <f>'[1]V, inciso p) (OP)'!AM324</f>
        <v>43245</v>
      </c>
      <c r="X662" s="10">
        <f>'[1]V, inciso p) (OP)'!AN324</f>
        <v>43334</v>
      </c>
      <c r="Y662" s="7" t="s">
        <v>722</v>
      </c>
      <c r="Z662" s="7" t="s">
        <v>231</v>
      </c>
      <c r="AA662" s="7" t="s">
        <v>143</v>
      </c>
      <c r="AB662" s="21" t="s">
        <v>2442</v>
      </c>
      <c r="AC662" s="6" t="s">
        <v>2438</v>
      </c>
      <c r="AD662" s="6"/>
    </row>
    <row r="663" spans="1:30" ht="69.95" customHeight="1">
      <c r="A663" s="34">
        <v>27</v>
      </c>
      <c r="B663" s="7">
        <v>2018</v>
      </c>
      <c r="C663" s="6" t="str">
        <f>'[1]V, inciso p) (OP)'!B325</f>
        <v>Licitación Pública</v>
      </c>
      <c r="D663" s="6" t="str">
        <f>'[1]V, inciso p) (OP)'!D325</f>
        <v>DOPI-MUN-RM-PAV-LP-027-2018</v>
      </c>
      <c r="E663" s="10">
        <f>'[1]V, inciso p) (OP)'!AD325</f>
        <v>43245</v>
      </c>
      <c r="F663" s="32" t="str">
        <f>'[1]V, inciso p) (OP)'!AL325</f>
        <v>Pavimentación con concreto hidráulico de calle Ignacio Zaragoza, de calle Vicente Guerrero a calle Justo Sierra, incluye agua potable, drenaje, guarniciones, banquetas, alumbrado y señalética, en la colonia Agua Blanca Industrial, Municipio de Zapopan, Jalisco, segunda etapa.</v>
      </c>
      <c r="G663" s="6" t="s">
        <v>63</v>
      </c>
      <c r="H663" s="25">
        <v>2478487.17</v>
      </c>
      <c r="I663" s="6" t="str">
        <f>'[1]V, inciso p) (OP)'!AS325</f>
        <v>Colonia Agua Blanca Industrial</v>
      </c>
      <c r="J663" s="6" t="str">
        <f>'[1]V, inciso p) (OP)'!T325</f>
        <v>ERICK</v>
      </c>
      <c r="K663" s="6" t="str">
        <f>'[1]V, inciso p) (OP)'!U325</f>
        <v>VILLASEÑOR</v>
      </c>
      <c r="L663" s="6" t="str">
        <f>'[1]V, inciso p) (OP)'!V325</f>
        <v>GUTIÉRREZ</v>
      </c>
      <c r="M663" s="6" t="s">
        <v>1843</v>
      </c>
      <c r="N663" s="6" t="str">
        <f>'[1]V, inciso p) (OP)'!X325</f>
        <v>PCO140829425</v>
      </c>
      <c r="O663" s="11">
        <f t="shared" si="16"/>
        <v>2478487.17</v>
      </c>
      <c r="P663" s="11">
        <v>2366512.4700000002</v>
      </c>
      <c r="Q663" s="19" t="s">
        <v>1188</v>
      </c>
      <c r="R663" s="15">
        <f>O663/1413</f>
        <v>1754.0602760084926</v>
      </c>
      <c r="S663" s="7" t="s">
        <v>41</v>
      </c>
      <c r="T663" s="12">
        <v>401</v>
      </c>
      <c r="U663" s="13" t="s">
        <v>42</v>
      </c>
      <c r="V663" s="7" t="s">
        <v>43</v>
      </c>
      <c r="W663" s="10">
        <f>'[1]V, inciso p) (OP)'!AM325</f>
        <v>43245</v>
      </c>
      <c r="X663" s="10">
        <f>'[1]V, inciso p) (OP)'!AN325</f>
        <v>43319</v>
      </c>
      <c r="Y663" s="7" t="s">
        <v>411</v>
      </c>
      <c r="Z663" s="7" t="s">
        <v>412</v>
      </c>
      <c r="AA663" s="7" t="s">
        <v>413</v>
      </c>
      <c r="AB663" s="21" t="s">
        <v>2443</v>
      </c>
      <c r="AC663" s="6" t="s">
        <v>2438</v>
      </c>
      <c r="AD663" s="6"/>
    </row>
    <row r="664" spans="1:30" ht="69.95" customHeight="1">
      <c r="A664" s="34">
        <v>28</v>
      </c>
      <c r="B664" s="7">
        <v>2018</v>
      </c>
      <c r="C664" s="6" t="str">
        <f>'[1]V, inciso p) (OP)'!B326</f>
        <v>Licitación Pública</v>
      </c>
      <c r="D664" s="6" t="str">
        <f>'[1]V, inciso p) (OP)'!D326</f>
        <v>DOPI-MUN-RM-PAV-LP-028-2018</v>
      </c>
      <c r="E664" s="10">
        <f>'[1]V, inciso p) (OP)'!AD326</f>
        <v>43245</v>
      </c>
      <c r="F664" s="32" t="str">
        <f>'[1]V, inciso p) (OP)'!AL326</f>
        <v>Pavimentación con concreto hidráulico de calle Francisco I. Madero, de calle Vicente Guerrero a calle Justo Sierra, incluye agua potable, drenaje, guarniciones, banquetas, alumbrado y señalética, en la colonia Agua Blanca Industrial, Municipio de Zapopan, Jalisco, primera etapa.</v>
      </c>
      <c r="G664" s="6" t="s">
        <v>63</v>
      </c>
      <c r="H664" s="25">
        <v>1852180.07</v>
      </c>
      <c r="I664" s="6" t="str">
        <f>'[1]V, inciso p) (OP)'!AS326</f>
        <v>Colonia Agua Blanca Industrial</v>
      </c>
      <c r="J664" s="6" t="str">
        <f>'[1]V, inciso p) (OP)'!T326</f>
        <v>SERGIO CESAR</v>
      </c>
      <c r="K664" s="6" t="str">
        <f>'[1]V, inciso p) (OP)'!U326</f>
        <v>DÍAZ</v>
      </c>
      <c r="L664" s="6" t="str">
        <f>'[1]V, inciso p) (OP)'!V326</f>
        <v>QUIROZ</v>
      </c>
      <c r="M664" s="6" t="s">
        <v>1852</v>
      </c>
      <c r="N664" s="6" t="str">
        <f>'[1]V, inciso p) (OP)'!X326</f>
        <v>GUM111201IA5</v>
      </c>
      <c r="O664" s="11">
        <f t="shared" si="16"/>
        <v>1852180.07</v>
      </c>
      <c r="P664" s="11">
        <f t="shared" ref="P664" si="18">O664</f>
        <v>1852180.07</v>
      </c>
      <c r="Q664" s="19" t="s">
        <v>1189</v>
      </c>
      <c r="R664" s="15">
        <f>O664/965</f>
        <v>1919.3575854922281</v>
      </c>
      <c r="S664" s="7" t="s">
        <v>41</v>
      </c>
      <c r="T664" s="12">
        <v>206</v>
      </c>
      <c r="U664" s="13" t="s">
        <v>42</v>
      </c>
      <c r="V664" s="7" t="s">
        <v>373</v>
      </c>
      <c r="W664" s="10">
        <f>'[1]V, inciso p) (OP)'!AM326</f>
        <v>43245</v>
      </c>
      <c r="X664" s="10">
        <f>'[1]V, inciso p) (OP)'!AN326</f>
        <v>43319</v>
      </c>
      <c r="Y664" s="7" t="s">
        <v>411</v>
      </c>
      <c r="Z664" s="7" t="s">
        <v>412</v>
      </c>
      <c r="AA664" s="7" t="s">
        <v>413</v>
      </c>
      <c r="AB664" s="21" t="s">
        <v>2444</v>
      </c>
      <c r="AC664" s="6" t="s">
        <v>2438</v>
      </c>
      <c r="AD664" s="6"/>
    </row>
    <row r="665" spans="1:30" ht="69.95" customHeight="1">
      <c r="A665" s="34">
        <v>29</v>
      </c>
      <c r="B665" s="7">
        <v>2018</v>
      </c>
      <c r="C665" s="6" t="str">
        <f>'[1]V, inciso p) (OP)'!B327</f>
        <v>Licitación Pública</v>
      </c>
      <c r="D665" s="6" t="str">
        <f>'[1]V, inciso p) (OP)'!D327</f>
        <v>DOPI-MUN-R33-ELE-LP-029-2018</v>
      </c>
      <c r="E665" s="10">
        <f>'[1]V, inciso p) (OP)'!AD327</f>
        <v>43245</v>
      </c>
      <c r="F665" s="6" t="str">
        <f>'[1]V, inciso p) (OP)'!AL327</f>
        <v>Complemento de electrificación y alumbrado público en la colonia Jardines del Vergel 1ra Sección, municipio de Zapopan, Jalisco.</v>
      </c>
      <c r="G665" s="6" t="s">
        <v>3334</v>
      </c>
      <c r="H665" s="25">
        <v>1749224.76</v>
      </c>
      <c r="I665" s="6" t="str">
        <f>'[1]V, inciso p) (OP)'!AS327</f>
        <v>Colonia Jardines del Vergen 1ra sección</v>
      </c>
      <c r="J665" s="6" t="str">
        <f>'[1]V, inciso p) (OP)'!T327</f>
        <v>DARIO</v>
      </c>
      <c r="K665" s="6" t="str">
        <f>'[1]V, inciso p) (OP)'!U327</f>
        <v>HURTADO</v>
      </c>
      <c r="L665" s="6" t="str">
        <f>'[1]V, inciso p) (OP)'!V327</f>
        <v>SERRANO</v>
      </c>
      <c r="M665" s="6" t="s">
        <v>3247</v>
      </c>
      <c r="N665" s="6" t="str">
        <f>'[1]V, inciso p) (OP)'!X327</f>
        <v>EID120425SQ2</v>
      </c>
      <c r="O665" s="11">
        <f t="shared" si="16"/>
        <v>1749224.76</v>
      </c>
      <c r="P665" s="11">
        <v>1749217.9400000002</v>
      </c>
      <c r="Q665" s="19" t="s">
        <v>1190</v>
      </c>
      <c r="R665" s="15">
        <f>O665/65</f>
        <v>26911.150153846153</v>
      </c>
      <c r="S665" s="7" t="s">
        <v>41</v>
      </c>
      <c r="T665" s="12">
        <v>128</v>
      </c>
      <c r="U665" s="13" t="s">
        <v>42</v>
      </c>
      <c r="V665" s="7" t="s">
        <v>43</v>
      </c>
      <c r="W665" s="10">
        <f>'[1]V, inciso p) (OP)'!AM327</f>
        <v>43245</v>
      </c>
      <c r="X665" s="10">
        <f>'[1]V, inciso p) (OP)'!AN327</f>
        <v>43334</v>
      </c>
      <c r="Y665" s="7" t="s">
        <v>402</v>
      </c>
      <c r="Z665" s="7" t="s">
        <v>296</v>
      </c>
      <c r="AA665" s="7" t="s">
        <v>508</v>
      </c>
      <c r="AB665" s="21" t="s">
        <v>2445</v>
      </c>
      <c r="AC665" s="6" t="s">
        <v>2438</v>
      </c>
      <c r="AD665" s="6"/>
    </row>
    <row r="666" spans="1:30" ht="69.95" customHeight="1">
      <c r="A666" s="34">
        <v>30</v>
      </c>
      <c r="B666" s="7">
        <v>2018</v>
      </c>
      <c r="C666" s="6" t="str">
        <f>'[1]V, inciso p) (OP)'!B328</f>
        <v>Licitación Pública</v>
      </c>
      <c r="D666" s="6" t="str">
        <f>'[1]V, inciso p) (OP)'!D328</f>
        <v>DOPI-MUN-R33-ELE-LP-030-2018</v>
      </c>
      <c r="E666" s="10">
        <f>'[1]V, inciso p) (OP)'!AD328</f>
        <v>43245</v>
      </c>
      <c r="F666" s="6" t="str">
        <f>'[1]V, inciso p) (OP)'!AL328</f>
        <v>Complemento de electrificación en la colonia Lomas de la Mesa Colorada, municipio de Zapopan, Jalisco.</v>
      </c>
      <c r="G666" s="6" t="s">
        <v>3334</v>
      </c>
      <c r="H666" s="25">
        <v>2562170.13</v>
      </c>
      <c r="I666" s="6" t="str">
        <f>'[1]V, inciso p) (OP)'!AS328</f>
        <v>Colonia Lomas de la Mesa Colorada</v>
      </c>
      <c r="J666" s="6" t="str">
        <f>'[1]V, inciso p) (OP)'!T328</f>
        <v xml:space="preserve">JAVIER HIPÓLITO </v>
      </c>
      <c r="K666" s="6" t="str">
        <f>'[1]V, inciso p) (OP)'!U328</f>
        <v xml:space="preserve">COVARRUBIAS </v>
      </c>
      <c r="L666" s="6" t="str">
        <f>'[1]V, inciso p) (OP)'!V328</f>
        <v xml:space="preserve"> QUEZADA</v>
      </c>
      <c r="M666" s="6" t="s">
        <v>3248</v>
      </c>
      <c r="N666" s="6" t="str">
        <f>'[1]V, inciso p) (OP)'!X328</f>
        <v>COQJ630927QF8</v>
      </c>
      <c r="O666" s="11">
        <f t="shared" si="16"/>
        <v>2562170.13</v>
      </c>
      <c r="P666" s="11">
        <v>2562170.13</v>
      </c>
      <c r="Q666" s="19" t="s">
        <v>1191</v>
      </c>
      <c r="R666" s="15">
        <f>O666/39</f>
        <v>65696.67</v>
      </c>
      <c r="S666" s="7" t="s">
        <v>41</v>
      </c>
      <c r="T666" s="12">
        <v>143</v>
      </c>
      <c r="U666" s="13" t="s">
        <v>42</v>
      </c>
      <c r="V666" s="7" t="s">
        <v>43</v>
      </c>
      <c r="W666" s="10">
        <f>'[1]V, inciso p) (OP)'!AM328</f>
        <v>43245</v>
      </c>
      <c r="X666" s="10">
        <f>'[1]V, inciso p) (OP)'!AN328</f>
        <v>43334</v>
      </c>
      <c r="Y666" s="7" t="s">
        <v>402</v>
      </c>
      <c r="Z666" s="7" t="s">
        <v>296</v>
      </c>
      <c r="AA666" s="7" t="s">
        <v>508</v>
      </c>
      <c r="AB666" s="21" t="s">
        <v>2446</v>
      </c>
      <c r="AC666" s="6" t="s">
        <v>2438</v>
      </c>
      <c r="AD666" s="6"/>
    </row>
    <row r="667" spans="1:30" ht="69.95" customHeight="1">
      <c r="A667" s="34">
        <v>31</v>
      </c>
      <c r="B667" s="7">
        <v>2018</v>
      </c>
      <c r="C667" s="6" t="str">
        <f>'[1]V, inciso p) (OP)'!B329</f>
        <v>Licitación Pública</v>
      </c>
      <c r="D667" s="6" t="str">
        <f>'[1]V, inciso p) (OP)'!D329</f>
        <v>DOPI-MUN-R33-ELE-LP-031-2018</v>
      </c>
      <c r="E667" s="10">
        <f>'[1]V, inciso p) (OP)'!AD329</f>
        <v>43245</v>
      </c>
      <c r="F667" s="6" t="str">
        <f>'[1]V, inciso p) (OP)'!AL329</f>
        <v>Red de electrificación y alumbrado público en la colonia Valle de Los Robles, municipio de Zapopan, Jalisco.</v>
      </c>
      <c r="G667" s="6" t="s">
        <v>3334</v>
      </c>
      <c r="H667" s="25">
        <v>2259333.02</v>
      </c>
      <c r="I667" s="6" t="str">
        <f>'[1]V, inciso p) (OP)'!AS329</f>
        <v>Colonia Valle de Los Robles</v>
      </c>
      <c r="J667" s="6" t="str">
        <f>'[1]V, inciso p) (OP)'!T329</f>
        <v>DARIO</v>
      </c>
      <c r="K667" s="6" t="str">
        <f>'[1]V, inciso p) (OP)'!U329</f>
        <v>HURTADO</v>
      </c>
      <c r="L667" s="6" t="str">
        <f>'[1]V, inciso p) (OP)'!V329</f>
        <v>SERRANO</v>
      </c>
      <c r="M667" s="6" t="s">
        <v>3247</v>
      </c>
      <c r="N667" s="6" t="str">
        <f>'[1]V, inciso p) (OP)'!X329</f>
        <v>EID120425SQ2</v>
      </c>
      <c r="O667" s="11">
        <f t="shared" si="16"/>
        <v>2259333.02</v>
      </c>
      <c r="P667" s="11">
        <v>2252925.87</v>
      </c>
      <c r="Q667" s="19" t="s">
        <v>1192</v>
      </c>
      <c r="R667" s="15">
        <f>O667/48</f>
        <v>47069.437916666669</v>
      </c>
      <c r="S667" s="7" t="s">
        <v>41</v>
      </c>
      <c r="T667" s="12">
        <v>129</v>
      </c>
      <c r="U667" s="13" t="s">
        <v>42</v>
      </c>
      <c r="V667" s="7" t="s">
        <v>43</v>
      </c>
      <c r="W667" s="10">
        <f>'[1]V, inciso p) (OP)'!AM329</f>
        <v>43245</v>
      </c>
      <c r="X667" s="10">
        <f>'[1]V, inciso p) (OP)'!AN329</f>
        <v>43334</v>
      </c>
      <c r="Y667" s="7" t="s">
        <v>402</v>
      </c>
      <c r="Z667" s="7" t="s">
        <v>296</v>
      </c>
      <c r="AA667" s="7" t="s">
        <v>508</v>
      </c>
      <c r="AB667" s="21" t="s">
        <v>2447</v>
      </c>
      <c r="AC667" s="6" t="s">
        <v>2438</v>
      </c>
      <c r="AD667" s="6"/>
    </row>
    <row r="668" spans="1:30" ht="69.95" customHeight="1">
      <c r="A668" s="34">
        <v>32</v>
      </c>
      <c r="B668" s="7">
        <v>2018</v>
      </c>
      <c r="C668" s="6" t="str">
        <f>'[1]V, inciso p) (OP)'!B330</f>
        <v>Licitación Pública</v>
      </c>
      <c r="D668" s="6" t="str">
        <f>'[1]V, inciso p) (OP)'!D330</f>
        <v>DOPI-MUN-R33-ELE-LP-032-2018</v>
      </c>
      <c r="E668" s="10">
        <f>'[1]V, inciso p) (OP)'!AD330</f>
        <v>43245</v>
      </c>
      <c r="F668" s="6" t="str">
        <f>'[1]V, inciso p) (OP)'!AL330</f>
        <v>Electrificación y servicios complementarios en el Ejido Nuevo San Martín, municipio de Zapopan, Jalisco, frente 1.</v>
      </c>
      <c r="G668" s="6" t="s">
        <v>3334</v>
      </c>
      <c r="H668" s="25">
        <v>2655743.23</v>
      </c>
      <c r="I668" s="6" t="str">
        <f>'[1]V, inciso p) (OP)'!AS330</f>
        <v>Ejido Nuevo San Martín</v>
      </c>
      <c r="J668" s="6" t="str">
        <f>'[1]V, inciso p) (OP)'!T330</f>
        <v>SERGIO</v>
      </c>
      <c r="K668" s="6" t="str">
        <f>'[1]V, inciso p) (OP)'!U330</f>
        <v>RIOS</v>
      </c>
      <c r="L668" s="6" t="str">
        <f>'[1]V, inciso p) (OP)'!V330</f>
        <v>CORONADO</v>
      </c>
      <c r="M668" s="6" t="s">
        <v>3249</v>
      </c>
      <c r="N668" s="6" t="str">
        <f>'[1]V, inciso p) (OP)'!X330</f>
        <v>EGC030102TA7</v>
      </c>
      <c r="O668" s="11">
        <f t="shared" si="16"/>
        <v>2655743.23</v>
      </c>
      <c r="P668" s="11">
        <v>1965249.99</v>
      </c>
      <c r="Q668" s="19" t="s">
        <v>1193</v>
      </c>
      <c r="R668" s="15">
        <f>O668/22</f>
        <v>120715.60136363636</v>
      </c>
      <c r="S668" s="7" t="s">
        <v>41</v>
      </c>
      <c r="T668" s="12">
        <v>189</v>
      </c>
      <c r="U668" s="13" t="s">
        <v>42</v>
      </c>
      <c r="V668" s="7" t="s">
        <v>43</v>
      </c>
      <c r="W668" s="10">
        <f>'[1]V, inciso p) (OP)'!AM330</f>
        <v>43245</v>
      </c>
      <c r="X668" s="10">
        <f>'[1]V, inciso p) (OP)'!AN330</f>
        <v>43334</v>
      </c>
      <c r="Y668" s="7" t="s">
        <v>402</v>
      </c>
      <c r="Z668" s="7" t="s">
        <v>296</v>
      </c>
      <c r="AA668" s="7" t="s">
        <v>508</v>
      </c>
      <c r="AB668" s="21" t="s">
        <v>2448</v>
      </c>
      <c r="AC668" s="6" t="s">
        <v>2438</v>
      </c>
      <c r="AD668" s="6"/>
    </row>
    <row r="669" spans="1:30" ht="69.95" customHeight="1">
      <c r="A669" s="34">
        <v>33</v>
      </c>
      <c r="B669" s="7">
        <v>2018</v>
      </c>
      <c r="C669" s="6" t="str">
        <f>'[1]V, inciso p) (OP)'!B331</f>
        <v>Licitación Pública</v>
      </c>
      <c r="D669" s="6" t="str">
        <f>'[1]V, inciso p) (OP)'!D331</f>
        <v>DOPI-MUN-R33-ELE-LP-033-2018</v>
      </c>
      <c r="E669" s="10">
        <f>'[1]V, inciso p) (OP)'!AD331</f>
        <v>43245</v>
      </c>
      <c r="F669" s="6" t="str">
        <f>'[1]V, inciso p) (OP)'!AL331</f>
        <v>Electrificación y servicios complementarios en el Ejido Nuevo San Martín, municipio de Zapopan, Jalisco, frente 2.</v>
      </c>
      <c r="G669" s="6" t="s">
        <v>3334</v>
      </c>
      <c r="H669" s="25">
        <v>2131389.02</v>
      </c>
      <c r="I669" s="6" t="str">
        <f>'[1]V, inciso p) (OP)'!AS331</f>
        <v>Ejido Nuevo San Martín</v>
      </c>
      <c r="J669" s="6" t="str">
        <f>'[1]V, inciso p) (OP)'!T331</f>
        <v>MARÍA CAROLINA</v>
      </c>
      <c r="K669" s="6" t="str">
        <f>'[1]V, inciso p) (OP)'!U331</f>
        <v>SERRANO</v>
      </c>
      <c r="L669" s="6" t="str">
        <f>'[1]V, inciso p) (OP)'!V331</f>
        <v>CONTRERAS</v>
      </c>
      <c r="M669" s="6" t="s">
        <v>1592</v>
      </c>
      <c r="N669" s="6" t="str">
        <f>'[1]V, inciso p) (OP)'!X331</f>
        <v>EOT171027QE9</v>
      </c>
      <c r="O669" s="11">
        <f t="shared" si="16"/>
        <v>2131389.02</v>
      </c>
      <c r="P669" s="11">
        <v>2131389.0099999998</v>
      </c>
      <c r="Q669" s="19" t="s">
        <v>1194</v>
      </c>
      <c r="R669" s="15">
        <f>O669/18</f>
        <v>118410.50111111111</v>
      </c>
      <c r="S669" s="7" t="s">
        <v>41</v>
      </c>
      <c r="T669" s="12">
        <v>204</v>
      </c>
      <c r="U669" s="13" t="s">
        <v>42</v>
      </c>
      <c r="V669" s="7" t="s">
        <v>43</v>
      </c>
      <c r="W669" s="10">
        <f>'[1]V, inciso p) (OP)'!AM331</f>
        <v>43245</v>
      </c>
      <c r="X669" s="10">
        <f>'[1]V, inciso p) (OP)'!AN331</f>
        <v>43334</v>
      </c>
      <c r="Y669" s="7" t="s">
        <v>402</v>
      </c>
      <c r="Z669" s="7" t="s">
        <v>296</v>
      </c>
      <c r="AA669" s="7" t="s">
        <v>508</v>
      </c>
      <c r="AB669" s="21" t="s">
        <v>2449</v>
      </c>
      <c r="AC669" s="6" t="s">
        <v>2438</v>
      </c>
      <c r="AD669" s="6"/>
    </row>
    <row r="670" spans="1:30" ht="69.95" customHeight="1">
      <c r="A670" s="34">
        <v>34</v>
      </c>
      <c r="B670" s="7">
        <v>2018</v>
      </c>
      <c r="C670" s="6" t="str">
        <f>'[1]V, inciso p) (OP)'!B332</f>
        <v>Licitación Pública</v>
      </c>
      <c r="D670" s="6" t="str">
        <f>'[1]V, inciso p) (OP)'!D332</f>
        <v>DOPI-MUN-R33-ELE-LP-034-2018</v>
      </c>
      <c r="E670" s="10">
        <f>'[1]V, inciso p) (OP)'!AD332</f>
        <v>43245</v>
      </c>
      <c r="F670" s="6" t="str">
        <f>'[1]V, inciso p) (OP)'!AL332</f>
        <v>Electrificación y servicios complementarios en el poblado San Miguel Tateposco, municipio de Zapopan, Jalisco.</v>
      </c>
      <c r="G670" s="6" t="s">
        <v>3334</v>
      </c>
      <c r="H670" s="25">
        <v>2083343.03</v>
      </c>
      <c r="I670" s="6" t="str">
        <f>'[1]V, inciso p) (OP)'!AS332</f>
        <v>Poblado San Miguel Tateposco</v>
      </c>
      <c r="J670" s="6" t="str">
        <f>'[1]V, inciso p) (OP)'!T332</f>
        <v xml:space="preserve">JAVIER HIPÓLITO </v>
      </c>
      <c r="K670" s="6" t="str">
        <f>'[1]V, inciso p) (OP)'!U332</f>
        <v xml:space="preserve">COVARRUBIAS </v>
      </c>
      <c r="L670" s="6" t="str">
        <f>'[1]V, inciso p) (OP)'!V332</f>
        <v xml:space="preserve"> QUEZADA</v>
      </c>
      <c r="M670" s="6" t="s">
        <v>3248</v>
      </c>
      <c r="N670" s="6" t="str">
        <f>'[1]V, inciso p) (OP)'!X332</f>
        <v>COQJ630927QF8</v>
      </c>
      <c r="O670" s="11">
        <f t="shared" si="16"/>
        <v>2083343.03</v>
      </c>
      <c r="P670" s="11">
        <v>1901575.5</v>
      </c>
      <c r="Q670" s="19" t="s">
        <v>1195</v>
      </c>
      <c r="R670" s="15">
        <f>O670/21</f>
        <v>99206.810952380954</v>
      </c>
      <c r="S670" s="7" t="s">
        <v>41</v>
      </c>
      <c r="T670" s="12">
        <v>197</v>
      </c>
      <c r="U670" s="13" t="s">
        <v>42</v>
      </c>
      <c r="V670" s="7" t="s">
        <v>43</v>
      </c>
      <c r="W670" s="10">
        <f>'[1]V, inciso p) (OP)'!AM332</f>
        <v>43245</v>
      </c>
      <c r="X670" s="10">
        <f>'[1]V, inciso p) (OP)'!AN332</f>
        <v>43334</v>
      </c>
      <c r="Y670" s="7" t="s">
        <v>402</v>
      </c>
      <c r="Z670" s="7" t="s">
        <v>296</v>
      </c>
      <c r="AA670" s="7" t="s">
        <v>508</v>
      </c>
      <c r="AB670" s="21" t="s">
        <v>2450</v>
      </c>
      <c r="AC670" s="6" t="s">
        <v>2438</v>
      </c>
      <c r="AD670" s="6"/>
    </row>
    <row r="671" spans="1:30" ht="69.95" customHeight="1">
      <c r="A671" s="34">
        <v>35</v>
      </c>
      <c r="B671" s="7">
        <v>2018</v>
      </c>
      <c r="C671" s="6" t="str">
        <f>'[1]V, inciso p) (OP)'!B333</f>
        <v>Licitación Pública</v>
      </c>
      <c r="D671" s="6" t="str">
        <f>'[1]V, inciso p) (OP)'!D333</f>
        <v>DOPI-MUN-R33-APDS-LP-035-2018</v>
      </c>
      <c r="E671" s="10">
        <f>'[1]V, inciso p) (OP)'!AD333</f>
        <v>43245</v>
      </c>
      <c r="F671" s="6" t="str">
        <f>'[1]V, inciso p) (OP)'!AL333</f>
        <v>Construcción de línea de drenaje y agua potable en la colonia Mesa Colorada Poniente, frente 1, municipio de Zapopan, Jalisco.</v>
      </c>
      <c r="G671" s="6" t="s">
        <v>3334</v>
      </c>
      <c r="H671" s="25">
        <v>2655429.86</v>
      </c>
      <c r="I671" s="6" t="str">
        <f>'[1]V, inciso p) (OP)'!AS333</f>
        <v>Colonia Mesa Colorada Poniente</v>
      </c>
      <c r="J671" s="6" t="str">
        <f>'[1]V, inciso p) (OP)'!T333</f>
        <v>LAURA LILIA</v>
      </c>
      <c r="K671" s="6" t="str">
        <f>'[1]V, inciso p) (OP)'!U333</f>
        <v>ARELLANO</v>
      </c>
      <c r="L671" s="6" t="str">
        <f>'[1]V, inciso p) (OP)'!V333</f>
        <v>CERNA</v>
      </c>
      <c r="M671" s="6" t="s">
        <v>3250</v>
      </c>
      <c r="N671" s="6" t="str">
        <f>'[1]V, inciso p) (OP)'!X333</f>
        <v>CEI120724PR2</v>
      </c>
      <c r="O671" s="11">
        <f t="shared" si="16"/>
        <v>2655429.86</v>
      </c>
      <c r="P671" s="11">
        <v>2655428.64</v>
      </c>
      <c r="Q671" s="19" t="s">
        <v>1196</v>
      </c>
      <c r="R671" s="15">
        <f>O671/199</f>
        <v>13343.868643216079</v>
      </c>
      <c r="S671" s="7" t="s">
        <v>41</v>
      </c>
      <c r="T671" s="12">
        <v>397</v>
      </c>
      <c r="U671" s="13" t="s">
        <v>42</v>
      </c>
      <c r="V671" s="7" t="s">
        <v>43</v>
      </c>
      <c r="W671" s="10">
        <f>'[1]V, inciso p) (OP)'!AM333</f>
        <v>43245</v>
      </c>
      <c r="X671" s="10">
        <f>'[1]V, inciso p) (OP)'!AN333</f>
        <v>43334</v>
      </c>
      <c r="Y671" s="7" t="s">
        <v>345</v>
      </c>
      <c r="Z671" s="7" t="s">
        <v>346</v>
      </c>
      <c r="AA671" s="7" t="s">
        <v>347</v>
      </c>
      <c r="AB671" s="21" t="s">
        <v>2451</v>
      </c>
      <c r="AC671" s="6" t="s">
        <v>2438</v>
      </c>
      <c r="AD671" s="6"/>
    </row>
    <row r="672" spans="1:30" ht="69.95" customHeight="1">
      <c r="A672" s="34">
        <v>36</v>
      </c>
      <c r="B672" s="7">
        <v>2018</v>
      </c>
      <c r="C672" s="6" t="str">
        <f>'[1]V, inciso p) (OP)'!B334</f>
        <v>Licitación Pública</v>
      </c>
      <c r="D672" s="6" t="str">
        <f>'[1]V, inciso p) (OP)'!D334</f>
        <v>DOPI-MUN-R33-APDS-LP-036-2018</v>
      </c>
      <c r="E672" s="10">
        <f>'[1]V, inciso p) (OP)'!AD334</f>
        <v>43245</v>
      </c>
      <c r="F672" s="6" t="str">
        <f>'[1]V, inciso p) (OP)'!AL334</f>
        <v>Construcción de línea de drenaje y agua potable en la colonia Mesa Colorada Poniente, frente 2, municipio de Zapopan, Jalisco.</v>
      </c>
      <c r="G672" s="6" t="s">
        <v>3334</v>
      </c>
      <c r="H672" s="25">
        <v>2395857.0299999998</v>
      </c>
      <c r="I672" s="6" t="str">
        <f>'[1]V, inciso p) (OP)'!AS334</f>
        <v>Colonia Mesa Colorada Poniente</v>
      </c>
      <c r="J672" s="6" t="str">
        <f>'[1]V, inciso p) (OP)'!T334</f>
        <v>FELIPE DANIEL II</v>
      </c>
      <c r="K672" s="6" t="str">
        <f>'[1]V, inciso p) (OP)'!U334</f>
        <v>NUÑEZ</v>
      </c>
      <c r="L672" s="6" t="str">
        <f>'[1]V, inciso p) (OP)'!V334</f>
        <v>PINZON</v>
      </c>
      <c r="M672" s="6" t="s">
        <v>1849</v>
      </c>
      <c r="N672" s="6" t="str">
        <f>'[1]V, inciso p) (OP)'!X334</f>
        <v>GNU120809KX1</v>
      </c>
      <c r="O672" s="11">
        <f t="shared" si="16"/>
        <v>2395857.0299999998</v>
      </c>
      <c r="P672" s="11">
        <v>2395857.0300000003</v>
      </c>
      <c r="Q672" s="19" t="s">
        <v>1197</v>
      </c>
      <c r="R672" s="15">
        <f>O672/192</f>
        <v>12478.422031249998</v>
      </c>
      <c r="S672" s="7" t="s">
        <v>41</v>
      </c>
      <c r="T672" s="12">
        <v>397</v>
      </c>
      <c r="U672" s="13" t="s">
        <v>42</v>
      </c>
      <c r="V672" s="7" t="s">
        <v>43</v>
      </c>
      <c r="W672" s="10">
        <f>'[1]V, inciso p) (OP)'!AM334</f>
        <v>43245</v>
      </c>
      <c r="X672" s="10">
        <f>'[1]V, inciso p) (OP)'!AN334</f>
        <v>43319</v>
      </c>
      <c r="Y672" s="7" t="s">
        <v>345</v>
      </c>
      <c r="Z672" s="7" t="s">
        <v>346</v>
      </c>
      <c r="AA672" s="7" t="s">
        <v>347</v>
      </c>
      <c r="AB672" s="21" t="s">
        <v>2815</v>
      </c>
      <c r="AC672" s="6" t="s">
        <v>2438</v>
      </c>
      <c r="AD672" s="6"/>
    </row>
    <row r="673" spans="1:30" ht="69.95" customHeight="1">
      <c r="A673" s="34">
        <v>37</v>
      </c>
      <c r="B673" s="7">
        <v>2018</v>
      </c>
      <c r="C673" s="6" t="str">
        <f>'[1]V, inciso p) (OP)'!B335</f>
        <v>Licitación Pública</v>
      </c>
      <c r="D673" s="6" t="str">
        <f>'[1]V, inciso p) (OP)'!D335</f>
        <v>DOPI-MUN-R33-APDS-LP-037-2018</v>
      </c>
      <c r="E673" s="10">
        <f>'[1]V, inciso p) (OP)'!AD335</f>
        <v>43245</v>
      </c>
      <c r="F673" s="6" t="str">
        <f>'[1]V, inciso p) (OP)'!AL335</f>
        <v>Construcción de línea de drenaje y agua potable en la colonia Mesa Colorada Poniente, frente 3, municipio de Zapopan, Jalisco.</v>
      </c>
      <c r="G673" s="6" t="s">
        <v>3334</v>
      </c>
      <c r="H673" s="25">
        <v>2759769.39</v>
      </c>
      <c r="I673" s="6" t="str">
        <f>'[1]V, inciso p) (OP)'!AS335</f>
        <v>Colonia Mesa Colorada Poniente</v>
      </c>
      <c r="J673" s="6" t="str">
        <f>'[1]V, inciso p) (OP)'!T335</f>
        <v>ERNESTO</v>
      </c>
      <c r="K673" s="6" t="str">
        <f>'[1]V, inciso p) (OP)'!U335</f>
        <v>OLIVARES</v>
      </c>
      <c r="L673" s="6" t="str">
        <f>'[1]V, inciso p) (OP)'!V335</f>
        <v>ÁLVAREZ</v>
      </c>
      <c r="M673" s="6" t="s">
        <v>2078</v>
      </c>
      <c r="N673" s="6" t="str">
        <f>'[1]V, inciso p) (OP)'!X335</f>
        <v>MIN170819GG1</v>
      </c>
      <c r="O673" s="11">
        <f t="shared" ref="O673:O696" si="19">H673</f>
        <v>2759769.39</v>
      </c>
      <c r="P673" s="11">
        <v>2759769.37</v>
      </c>
      <c r="Q673" s="19" t="s">
        <v>1198</v>
      </c>
      <c r="R673" s="15">
        <f>O673/186</f>
        <v>14837.469838709678</v>
      </c>
      <c r="S673" s="7" t="s">
        <v>41</v>
      </c>
      <c r="T673" s="12">
        <v>397</v>
      </c>
      <c r="U673" s="13" t="s">
        <v>42</v>
      </c>
      <c r="V673" s="7" t="s">
        <v>43</v>
      </c>
      <c r="W673" s="10">
        <f>'[1]V, inciso p) (OP)'!AM335</f>
        <v>43245</v>
      </c>
      <c r="X673" s="10">
        <f>'[1]V, inciso p) (OP)'!AN335</f>
        <v>43319</v>
      </c>
      <c r="Y673" s="7" t="s">
        <v>345</v>
      </c>
      <c r="Z673" s="7" t="s">
        <v>346</v>
      </c>
      <c r="AA673" s="7" t="s">
        <v>347</v>
      </c>
      <c r="AB673" s="21" t="s">
        <v>2452</v>
      </c>
      <c r="AC673" s="6" t="s">
        <v>2438</v>
      </c>
      <c r="AD673" s="6"/>
    </row>
    <row r="674" spans="1:30" ht="69.95" customHeight="1">
      <c r="A674" s="34">
        <v>38</v>
      </c>
      <c r="B674" s="7">
        <v>2018</v>
      </c>
      <c r="C674" s="6" t="str">
        <f>'[1]V, inciso p) (OP)'!B336</f>
        <v>Licitación Pública</v>
      </c>
      <c r="D674" s="6" t="str">
        <f>'[1]V, inciso p) (OP)'!D336</f>
        <v>DOPI-MUN-R33-PAV-LP-038-2018</v>
      </c>
      <c r="E674" s="10">
        <f>'[1]V, inciso p) (OP)'!AD336</f>
        <v>43245</v>
      </c>
      <c r="F674" s="6" t="str">
        <f>'[1]V, inciso p) (OP)'!AL336</f>
        <v>Pavimentación con concreto hidráulico en la colonia Fresno (calle Palmas de Eucalipto a cerrada, calle Eucalipto de Pirul a Encino y calle Encino de Eucalipto a Pino), municipio de Zapopan, Jalisco.</v>
      </c>
      <c r="G674" s="6" t="s">
        <v>3334</v>
      </c>
      <c r="H674" s="25">
        <v>3320082.26</v>
      </c>
      <c r="I674" s="6" t="str">
        <f>'[1]V, inciso p) (OP)'!AS336</f>
        <v>Colonia El Fresno</v>
      </c>
      <c r="J674" s="6" t="str">
        <f>'[1]V, inciso p) (OP)'!T336</f>
        <v>JAVIER</v>
      </c>
      <c r="K674" s="6" t="str">
        <f>'[1]V, inciso p) (OP)'!U336</f>
        <v>CAÑEDO</v>
      </c>
      <c r="L674" s="6" t="str">
        <f>'[1]V, inciso p) (OP)'!V336</f>
        <v>ORTEGA</v>
      </c>
      <c r="M674" s="6" t="s">
        <v>3159</v>
      </c>
      <c r="N674" s="6" t="str">
        <f>'[1]V, inciso p) (OP)'!X336</f>
        <v>CTO061116F61</v>
      </c>
      <c r="O674" s="11">
        <f t="shared" si="19"/>
        <v>3320082.26</v>
      </c>
      <c r="P674" s="11">
        <v>3287428.62</v>
      </c>
      <c r="Q674" s="19" t="s">
        <v>1199</v>
      </c>
      <c r="R674" s="15">
        <f>O674/1990</f>
        <v>1668.3830452261304</v>
      </c>
      <c r="S674" s="7" t="s">
        <v>41</v>
      </c>
      <c r="T674" s="12">
        <v>694</v>
      </c>
      <c r="U674" s="13" t="s">
        <v>42</v>
      </c>
      <c r="V674" s="7" t="s">
        <v>43</v>
      </c>
      <c r="W674" s="10">
        <f>'[1]V, inciso p) (OP)'!AM336</f>
        <v>43245</v>
      </c>
      <c r="X674" s="10">
        <f>'[1]V, inciso p) (OP)'!AN336</f>
        <v>43319</v>
      </c>
      <c r="Y674" s="7" t="s">
        <v>815</v>
      </c>
      <c r="Z674" s="7" t="s">
        <v>816</v>
      </c>
      <c r="AA674" s="7" t="s">
        <v>130</v>
      </c>
      <c r="AB674" s="21" t="s">
        <v>2453</v>
      </c>
      <c r="AC674" s="6" t="s">
        <v>2438</v>
      </c>
      <c r="AD674" s="6"/>
    </row>
    <row r="675" spans="1:30" ht="69.95" customHeight="1">
      <c r="A675" s="34">
        <v>39</v>
      </c>
      <c r="B675" s="7">
        <v>2018</v>
      </c>
      <c r="C675" s="6" t="str">
        <f>'[1]V, inciso p) (OP)'!B337</f>
        <v>Licitación Pública</v>
      </c>
      <c r="D675" s="6" t="str">
        <f>'[1]V, inciso p) (OP)'!D337</f>
        <v>DOPI-MUN-R33-APDS-LP-039-2018</v>
      </c>
      <c r="E675" s="10">
        <f>'[1]V, inciso p) (OP)'!AD337</f>
        <v>43245</v>
      </c>
      <c r="F675" s="6" t="str">
        <f>'[1]V, inciso p) (OP)'!AL337</f>
        <v>Construcción de red de drenaje y agua potable en la colonia San José Ejidal, municipio de Zapopan, Jalisco.</v>
      </c>
      <c r="G675" s="6" t="s">
        <v>3334</v>
      </c>
      <c r="H675" s="25">
        <v>3193010.78</v>
      </c>
      <c r="I675" s="6" t="str">
        <f>'[1]V, inciso p) (OP)'!AS337</f>
        <v>Colonia San José Ejidal</v>
      </c>
      <c r="J675" s="6" t="str">
        <f>'[1]V, inciso p) (OP)'!T337</f>
        <v>ERICK</v>
      </c>
      <c r="K675" s="6" t="str">
        <f>'[1]V, inciso p) (OP)'!U337</f>
        <v>VILLASEÑOR</v>
      </c>
      <c r="L675" s="6" t="str">
        <f>'[1]V, inciso p) (OP)'!V337</f>
        <v>GUTIÉRREZ</v>
      </c>
      <c r="M675" s="6" t="s">
        <v>1843</v>
      </c>
      <c r="N675" s="6" t="str">
        <f>'[1]V, inciso p) (OP)'!X337</f>
        <v>PCO140829425</v>
      </c>
      <c r="O675" s="11">
        <f t="shared" si="19"/>
        <v>3193010.78</v>
      </c>
      <c r="P675" s="11">
        <v>2980390.6100000003</v>
      </c>
      <c r="Q675" s="19" t="s">
        <v>1200</v>
      </c>
      <c r="R675" s="15">
        <f>O675/867</f>
        <v>3682.8267358708185</v>
      </c>
      <c r="S675" s="7" t="s">
        <v>41</v>
      </c>
      <c r="T675" s="12">
        <v>321</v>
      </c>
      <c r="U675" s="13" t="s">
        <v>42</v>
      </c>
      <c r="V675" s="7" t="s">
        <v>43</v>
      </c>
      <c r="W675" s="10">
        <f>'[1]V, inciso p) (OP)'!AM337</f>
        <v>43245</v>
      </c>
      <c r="X675" s="10">
        <f>'[1]V, inciso p) (OP)'!AN337</f>
        <v>43319</v>
      </c>
      <c r="Y675" s="7" t="s">
        <v>460</v>
      </c>
      <c r="Z675" s="7" t="s">
        <v>302</v>
      </c>
      <c r="AA675" s="7" t="s">
        <v>303</v>
      </c>
      <c r="AB675" s="21" t="s">
        <v>2454</v>
      </c>
      <c r="AC675" s="6" t="s">
        <v>2438</v>
      </c>
      <c r="AD675" s="6"/>
    </row>
    <row r="676" spans="1:30" ht="69.95" customHeight="1">
      <c r="A676" s="34">
        <v>40</v>
      </c>
      <c r="B676" s="7">
        <v>2018</v>
      </c>
      <c r="C676" s="6" t="str">
        <f>'[1]V, inciso p) (OP)'!B338</f>
        <v>Licitación Pública</v>
      </c>
      <c r="D676" s="6" t="str">
        <f>'[1]V, inciso p) (OP)'!D338</f>
        <v>DOPI-FED-PR-PAV-LP-040-2018</v>
      </c>
      <c r="E676" s="10">
        <f>'[1]V, inciso p) (OP)'!AD338</f>
        <v>43245</v>
      </c>
      <c r="F676" s="6" t="str">
        <f>'[1]V, inciso p) (OP)'!AL338</f>
        <v>Construcción de Avenida El Collí con concreto hidráulico entre la calle Roble y Las Torres, en la colonia Paraísos del Collí, municipio de Zapopan, Jalisco.</v>
      </c>
      <c r="G676" s="6" t="s">
        <v>3335</v>
      </c>
      <c r="H676" s="25">
        <v>9758709.2599999998</v>
      </c>
      <c r="I676" s="6" t="str">
        <f>'[1]V, inciso p) (OP)'!AS338</f>
        <v>Colonia Paraisos del Colli</v>
      </c>
      <c r="J676" s="6" t="str">
        <f>'[1]V, inciso p) (OP)'!T338</f>
        <v>SERGIO CESAR</v>
      </c>
      <c r="K676" s="6" t="str">
        <f>'[1]V, inciso p) (OP)'!U338</f>
        <v>DÍAZ</v>
      </c>
      <c r="L676" s="6" t="str">
        <f>'[1]V, inciso p) (OP)'!V338</f>
        <v>QUIROZ</v>
      </c>
      <c r="M676" s="6" t="s">
        <v>1827</v>
      </c>
      <c r="N676" s="6" t="str">
        <f>'[1]V, inciso p) (OP)'!X338</f>
        <v>TRA750528286</v>
      </c>
      <c r="O676" s="11">
        <f t="shared" si="19"/>
        <v>9758709.2599999998</v>
      </c>
      <c r="P676" s="11">
        <v>9758709.2600000016</v>
      </c>
      <c r="Q676" s="19" t="s">
        <v>1201</v>
      </c>
      <c r="R676" s="15">
        <f>O676/4662</f>
        <v>2093.2452295152293</v>
      </c>
      <c r="S676" s="7" t="s">
        <v>41</v>
      </c>
      <c r="T676" s="12">
        <v>6398</v>
      </c>
      <c r="U676" s="13" t="s">
        <v>42</v>
      </c>
      <c r="V676" s="7" t="s">
        <v>43</v>
      </c>
      <c r="W676" s="10">
        <f>'[1]V, inciso p) (OP)'!AM338</f>
        <v>43245</v>
      </c>
      <c r="X676" s="10">
        <f>'[1]V, inciso p) (OP)'!AN338</f>
        <v>43344</v>
      </c>
      <c r="Y676" s="7" t="s">
        <v>411</v>
      </c>
      <c r="Z676" s="7" t="s">
        <v>412</v>
      </c>
      <c r="AA676" s="7" t="s">
        <v>413</v>
      </c>
      <c r="AB676" s="21" t="s">
        <v>2455</v>
      </c>
      <c r="AC676" s="6" t="s">
        <v>2438</v>
      </c>
      <c r="AD676" s="6"/>
    </row>
    <row r="677" spans="1:30" ht="69.95" customHeight="1">
      <c r="A677" s="34">
        <v>41</v>
      </c>
      <c r="B677" s="7">
        <v>2018</v>
      </c>
      <c r="C677" s="6" t="str">
        <f>'[1]V, inciso p) (OP)'!B339</f>
        <v>Licitación Pública</v>
      </c>
      <c r="D677" s="6" t="str">
        <f>'[1]V, inciso p) (OP)'!D339</f>
        <v>DOPI-FED-PR-PAV-LP-041-2018</v>
      </c>
      <c r="E677" s="10">
        <f>'[1]V, inciso p) (OP)'!AD339</f>
        <v>43245</v>
      </c>
      <c r="F677" s="6" t="str">
        <f>'[1]V, inciso p) (OP)'!AL339</f>
        <v>Construcción de Av. Palmira y Av. Las Torres con concreto hidráulico, entre la calle Jardín y Privada Bugambilias, en las colonias Los Cajetes y Palmira, municipio de Zapopan, Jalisco.</v>
      </c>
      <c r="G677" s="6" t="s">
        <v>3336</v>
      </c>
      <c r="H677" s="25">
        <v>9890000</v>
      </c>
      <c r="I677" s="6" t="str">
        <f>'[1]V, inciso p) (OP)'!AS339</f>
        <v>Colonias Los Cajetes y Palmira</v>
      </c>
      <c r="J677" s="6" t="str">
        <f>'[1]V, inciso p) (OP)'!T339</f>
        <v>JOSÉ ANTONIO</v>
      </c>
      <c r="K677" s="6" t="str">
        <f>'[1]V, inciso p) (OP)'!U339</f>
        <v>CERECER</v>
      </c>
      <c r="L677" s="6" t="str">
        <f>'[1]V, inciso p) (OP)'!V339</f>
        <v>RODRÍGUEZ</v>
      </c>
      <c r="M677" s="6" t="s">
        <v>3251</v>
      </c>
      <c r="N677" s="6" t="str">
        <f>'[1]V, inciso p) (OP)'!X339</f>
        <v>GCR030911B99</v>
      </c>
      <c r="O677" s="11">
        <f t="shared" si="19"/>
        <v>9890000</v>
      </c>
      <c r="P677" s="11">
        <v>9889999.9000000004</v>
      </c>
      <c r="Q677" s="19" t="s">
        <v>1202</v>
      </c>
      <c r="R677" s="15">
        <f>O677/5023</f>
        <v>1968.9428628309774</v>
      </c>
      <c r="S677" s="7" t="s">
        <v>41</v>
      </c>
      <c r="T677" s="12">
        <v>3956</v>
      </c>
      <c r="U677" s="13" t="s">
        <v>42</v>
      </c>
      <c r="V677" s="7" t="s">
        <v>43</v>
      </c>
      <c r="W677" s="10">
        <f>'[1]V, inciso p) (OP)'!AM339</f>
        <v>43245</v>
      </c>
      <c r="X677" s="10">
        <f>'[1]V, inciso p) (OP)'!AN339</f>
        <v>43344</v>
      </c>
      <c r="Y677" s="7" t="s">
        <v>722</v>
      </c>
      <c r="Z677" s="7" t="s">
        <v>231</v>
      </c>
      <c r="AA677" s="7" t="s">
        <v>143</v>
      </c>
      <c r="AB677" s="21" t="s">
        <v>2456</v>
      </c>
      <c r="AC677" s="6" t="s">
        <v>2438</v>
      </c>
      <c r="AD677" s="6"/>
    </row>
    <row r="678" spans="1:30" ht="69.95" customHeight="1">
      <c r="A678" s="34">
        <v>42</v>
      </c>
      <c r="B678" s="7">
        <v>2018</v>
      </c>
      <c r="C678" s="6" t="str">
        <f>'[1]V, inciso p) (OP)'!B340</f>
        <v>Licitación Pública</v>
      </c>
      <c r="D678" s="6" t="str">
        <f>'[1]V, inciso p) (OP)'!D340</f>
        <v>DOPI-FED-PR-PAV-LP-042-2018</v>
      </c>
      <c r="E678" s="10">
        <f>'[1]V, inciso p) (OP)'!AD340</f>
        <v>43245</v>
      </c>
      <c r="F678" s="6" t="str">
        <f>'[1]V, inciso p) (OP)'!AL340</f>
        <v>Construcción de calle 16 de Septiembre con concreto hidráulico, entre la calle Ocampo y 5 de Mayo, en la colonia de San Juan de Ocotán, municipio de Zapopan, Jalisco.</v>
      </c>
      <c r="G678" s="6" t="s">
        <v>3335</v>
      </c>
      <c r="H678" s="25">
        <v>9853310.0800000001</v>
      </c>
      <c r="I678" s="6" t="str">
        <f>'[1]V, inciso p) (OP)'!AS340</f>
        <v>Colonia San Juan de Ocotán</v>
      </c>
      <c r="J678" s="6" t="str">
        <f>'[1]V, inciso p) (OP)'!T340</f>
        <v>ROBERTO</v>
      </c>
      <c r="K678" s="6" t="str">
        <f>'[1]V, inciso p) (OP)'!U340</f>
        <v>SILVA</v>
      </c>
      <c r="L678" s="6" t="str">
        <f>'[1]V, inciso p) (OP)'!V340</f>
        <v>VARGAS</v>
      </c>
      <c r="M678" s="6" t="s">
        <v>3252</v>
      </c>
      <c r="N678" s="6" t="str">
        <f>'[1]V, inciso p) (OP)'!X340</f>
        <v>WCO1701106T6</v>
      </c>
      <c r="O678" s="11">
        <f t="shared" si="19"/>
        <v>9853310.0800000001</v>
      </c>
      <c r="P678" s="11">
        <v>9853081.1499999985</v>
      </c>
      <c r="Q678" s="19" t="s">
        <v>1203</v>
      </c>
      <c r="R678" s="15">
        <f>O678/4870</f>
        <v>2023.2669568788501</v>
      </c>
      <c r="S678" s="7" t="s">
        <v>41</v>
      </c>
      <c r="T678" s="12">
        <v>3687</v>
      </c>
      <c r="U678" s="13" t="s">
        <v>42</v>
      </c>
      <c r="V678" s="7" t="s">
        <v>43</v>
      </c>
      <c r="W678" s="10">
        <f>'[1]V, inciso p) (OP)'!AM340</f>
        <v>43245</v>
      </c>
      <c r="X678" s="10">
        <f>'[1]V, inciso p) (OP)'!AN340</f>
        <v>43344</v>
      </c>
      <c r="Y678" s="7" t="s">
        <v>769</v>
      </c>
      <c r="Z678" s="7" t="s">
        <v>770</v>
      </c>
      <c r="AA678" s="7" t="s">
        <v>78</v>
      </c>
      <c r="AB678" s="21" t="s">
        <v>2457</v>
      </c>
      <c r="AC678" s="6" t="s">
        <v>2438</v>
      </c>
      <c r="AD678" s="6"/>
    </row>
    <row r="679" spans="1:30" ht="69.95" customHeight="1">
      <c r="A679" s="34">
        <v>43</v>
      </c>
      <c r="B679" s="7">
        <v>2018</v>
      </c>
      <c r="C679" s="6" t="str">
        <f>'[1]V, inciso p) (OP)'!B341</f>
        <v>Licitación Pública</v>
      </c>
      <c r="D679" s="6" t="str">
        <f>'[1]V, inciso p) (OP)'!D341</f>
        <v>DOPI-FED-PR-PAV-LP-043-2018</v>
      </c>
      <c r="E679" s="10">
        <f>'[1]V, inciso p) (OP)'!AD341</f>
        <v>43245</v>
      </c>
      <c r="F679" s="6" t="str">
        <f>'[1]V, inciso p) (OP)'!AL341</f>
        <v>Construcción de la calle Arenales con concreto hidráulico entre la calle Oro y la calle Mica, en la colonia Arenales Tapatíos, municipio de Zapopan, Jalisco.</v>
      </c>
      <c r="G679" s="6" t="s">
        <v>3335</v>
      </c>
      <c r="H679" s="25">
        <v>9343444.9700000007</v>
      </c>
      <c r="I679" s="6" t="str">
        <f>'[1]V, inciso p) (OP)'!AS341</f>
        <v>Colonia Arenales Tapatios</v>
      </c>
      <c r="J679" s="6" t="str">
        <f>'[1]V, inciso p) (OP)'!T341</f>
        <v>SERGIO CESAR</v>
      </c>
      <c r="K679" s="6" t="str">
        <f>'[1]V, inciso p) (OP)'!U341</f>
        <v>DÍAZ</v>
      </c>
      <c r="L679" s="6" t="str">
        <f>'[1]V, inciso p) (OP)'!V341</f>
        <v>QUIROZ</v>
      </c>
      <c r="M679" s="6" t="s">
        <v>1827</v>
      </c>
      <c r="N679" s="6" t="str">
        <f>'[1]V, inciso p) (OP)'!X341</f>
        <v>TRA750528286</v>
      </c>
      <c r="O679" s="11">
        <f t="shared" si="19"/>
        <v>9343444.9700000007</v>
      </c>
      <c r="P679" s="11">
        <v>9343445.0700000003</v>
      </c>
      <c r="Q679" s="19" t="s">
        <v>1204</v>
      </c>
      <c r="R679" s="15">
        <f>O679/4463</f>
        <v>2093.5346112480397</v>
      </c>
      <c r="S679" s="7" t="s">
        <v>41</v>
      </c>
      <c r="T679" s="12">
        <v>496</v>
      </c>
      <c r="U679" s="13" t="s">
        <v>42</v>
      </c>
      <c r="V679" s="7" t="s">
        <v>43</v>
      </c>
      <c r="W679" s="10">
        <f>'[1]V, inciso p) (OP)'!AM341</f>
        <v>43245</v>
      </c>
      <c r="X679" s="10">
        <f>'[1]V, inciso p) (OP)'!AN341</f>
        <v>43344</v>
      </c>
      <c r="Y679" s="7" t="s">
        <v>747</v>
      </c>
      <c r="Z679" s="7" t="s">
        <v>1165</v>
      </c>
      <c r="AA679" s="7" t="s">
        <v>143</v>
      </c>
      <c r="AB679" s="21" t="s">
        <v>2458</v>
      </c>
      <c r="AC679" s="6" t="s">
        <v>2438</v>
      </c>
      <c r="AD679" s="6"/>
    </row>
    <row r="680" spans="1:30" ht="69.95" customHeight="1">
      <c r="A680" s="34">
        <v>44</v>
      </c>
      <c r="B680" s="7">
        <v>2018</v>
      </c>
      <c r="C680" s="6" t="str">
        <f>'[1]V, inciso p) (OP)'!B342</f>
        <v>Licitación Pública</v>
      </c>
      <c r="D680" s="6" t="str">
        <f>'[1]V, inciso p) (OP)'!D342</f>
        <v>DOPI-FED-PR-PAV-LP-044-2018</v>
      </c>
      <c r="E680" s="10">
        <f>'[1]V, inciso p) (OP)'!AD342</f>
        <v>43245</v>
      </c>
      <c r="F680" s="6" t="str">
        <f>'[1]V, inciso p) (OP)'!AL342</f>
        <v>Construcción de la calle Guadalupe Victoria con concreto hidráulico entre la calle Juárez y 15 de Septiembre, en la colonia Santa María del Pueblito, municipio de Zapopan, Jalisco.</v>
      </c>
      <c r="G680" s="6" t="s">
        <v>3337</v>
      </c>
      <c r="H680" s="25">
        <v>9862524.5899999999</v>
      </c>
      <c r="I680" s="6" t="str">
        <f>'[1]V, inciso p) (OP)'!AS342</f>
        <v>Colonia Santa Maria del Pueblito</v>
      </c>
      <c r="J680" s="6" t="str">
        <f>'[1]V, inciso p) (OP)'!T342</f>
        <v>J. GERARDO</v>
      </c>
      <c r="K680" s="6" t="str">
        <f>'[1]V, inciso p) (OP)'!U342</f>
        <v>NICANOR</v>
      </c>
      <c r="L680" s="6" t="str">
        <f>'[1]V, inciso p) (OP)'!V342</f>
        <v>MEJIA MARISCAL</v>
      </c>
      <c r="M680" s="6" t="s">
        <v>1886</v>
      </c>
      <c r="N680" s="6" t="str">
        <f>'[1]V, inciso p) (OP)'!X342</f>
        <v>ICO980722MQ4</v>
      </c>
      <c r="O680" s="11">
        <f t="shared" si="19"/>
        <v>9862524.5899999999</v>
      </c>
      <c r="P680" s="11">
        <v>9862524.5699999984</v>
      </c>
      <c r="Q680" s="19" t="s">
        <v>1205</v>
      </c>
      <c r="R680" s="15">
        <f>O680/3562</f>
        <v>2768.8165609208309</v>
      </c>
      <c r="S680" s="7" t="s">
        <v>41</v>
      </c>
      <c r="T680" s="12">
        <v>896</v>
      </c>
      <c r="U680" s="13" t="s">
        <v>42</v>
      </c>
      <c r="V680" s="7" t="s">
        <v>43</v>
      </c>
      <c r="W680" s="10">
        <f>'[1]V, inciso p) (OP)'!AM342</f>
        <v>43245</v>
      </c>
      <c r="X680" s="10">
        <f>'[1]V, inciso p) (OP)'!AN342</f>
        <v>43344</v>
      </c>
      <c r="Y680" s="7" t="s">
        <v>317</v>
      </c>
      <c r="Z680" s="7" t="s">
        <v>191</v>
      </c>
      <c r="AA680" s="7" t="s">
        <v>192</v>
      </c>
      <c r="AB680" s="21" t="s">
        <v>2459</v>
      </c>
      <c r="AC680" s="6" t="s">
        <v>2438</v>
      </c>
      <c r="AD680" s="6"/>
    </row>
    <row r="681" spans="1:30" ht="69.95" customHeight="1">
      <c r="A681" s="34">
        <v>45</v>
      </c>
      <c r="B681" s="7">
        <v>2018</v>
      </c>
      <c r="C681" s="6" t="str">
        <f>'[1]V, inciso p) (OP)'!B343</f>
        <v>Licitación Pública</v>
      </c>
      <c r="D681" s="6" t="str">
        <f>'[1]V, inciso p) (OP)'!D343</f>
        <v>DOPI-FED-PR-PAV-LP-045-2018</v>
      </c>
      <c r="E681" s="10">
        <f>'[1]V, inciso p) (OP)'!AD343</f>
        <v>43245</v>
      </c>
      <c r="F681" s="6" t="str">
        <f>'[1]V, inciso p) (OP)'!AL343</f>
        <v>Construcción de calle López Cotilla con concreto hidráulico entre la calle Zaragoza y Avenida Vallarta, en la colonia Jocotán, municipio de Zapopan, Jalisco.</v>
      </c>
      <c r="G681" s="6" t="s">
        <v>3335</v>
      </c>
      <c r="H681" s="25">
        <v>6093147.3200000003</v>
      </c>
      <c r="I681" s="6" t="str">
        <f>'[1]V, inciso p) (OP)'!AS343</f>
        <v>Colonia Jocotán</v>
      </c>
      <c r="J681" s="6" t="str">
        <f>'[1]V, inciso p) (OP)'!T343</f>
        <v>JULIO EDUARDO</v>
      </c>
      <c r="K681" s="6" t="str">
        <f>'[1]V, inciso p) (OP)'!U343</f>
        <v>LÓPEZ</v>
      </c>
      <c r="L681" s="6" t="str">
        <f>'[1]V, inciso p) (OP)'!V343</f>
        <v>PÉREZ</v>
      </c>
      <c r="M681" s="6" t="s">
        <v>2204</v>
      </c>
      <c r="N681" s="6" t="str">
        <f>'[1]V, inciso p) (OP)'!X343</f>
        <v>PEI020208RW0</v>
      </c>
      <c r="O681" s="11">
        <f t="shared" si="19"/>
        <v>6093147.3200000003</v>
      </c>
      <c r="P681" s="11">
        <v>6093147.3200000012</v>
      </c>
      <c r="Q681" s="19" t="s">
        <v>1206</v>
      </c>
      <c r="R681" s="15">
        <f>O681/2555</f>
        <v>2384.7934716242662</v>
      </c>
      <c r="S681" s="7" t="s">
        <v>41</v>
      </c>
      <c r="T681" s="12">
        <v>652</v>
      </c>
      <c r="U681" s="13" t="s">
        <v>42</v>
      </c>
      <c r="V681" s="7" t="s">
        <v>43</v>
      </c>
      <c r="W681" s="10">
        <f>'[1]V, inciso p) (OP)'!AM343</f>
        <v>43245</v>
      </c>
      <c r="X681" s="10">
        <f>'[1]V, inciso p) (OP)'!AN343</f>
        <v>43344</v>
      </c>
      <c r="Y681" s="7" t="s">
        <v>317</v>
      </c>
      <c r="Z681" s="7" t="s">
        <v>191</v>
      </c>
      <c r="AA681" s="7" t="s">
        <v>192</v>
      </c>
      <c r="AB681" s="21" t="s">
        <v>2460</v>
      </c>
      <c r="AC681" s="6" t="s">
        <v>2438</v>
      </c>
      <c r="AD681" s="6"/>
    </row>
    <row r="682" spans="1:30" ht="69.95" customHeight="1">
      <c r="A682" s="34">
        <v>46</v>
      </c>
      <c r="B682" s="7">
        <v>2018</v>
      </c>
      <c r="C682" s="6" t="str">
        <f>'[1]V, inciso p) (OP)'!B344</f>
        <v>Licitación Pública</v>
      </c>
      <c r="D682" s="6" t="str">
        <f>'[1]V, inciso p) (OP)'!D344</f>
        <v>DOPI-FED-PR-PAV-LP-046-2018</v>
      </c>
      <c r="E682" s="10">
        <f>'[1]V, inciso p) (OP)'!AD344</f>
        <v>43245</v>
      </c>
      <c r="F682" s="6" t="str">
        <f>'[1]V, inciso p) (OP)'!AL344</f>
        <v>Construcción de la calle Puerto Manzanillo con concreto hidráulico entre la calle Puerto México y Prolongación Tepeyac, en la colonia Miramar, municipio de Zapopan, Jalisco.</v>
      </c>
      <c r="G682" s="6" t="s">
        <v>3336</v>
      </c>
      <c r="H682" s="25">
        <v>9862524.5899999999</v>
      </c>
      <c r="I682" s="6" t="str">
        <f>'[1]V, inciso p) (OP)'!AS344</f>
        <v>Colonia Miramar</v>
      </c>
      <c r="J682" s="6" t="str">
        <f>'[1]V, inciso p) (OP)'!T344</f>
        <v xml:space="preserve">ADRIANA ISABEL </v>
      </c>
      <c r="K682" s="6" t="str">
        <f>'[1]V, inciso p) (OP)'!U344</f>
        <v xml:space="preserve">MONTAÑEZ </v>
      </c>
      <c r="L682" s="6" t="str">
        <f>'[1]V, inciso p) (OP)'!V344</f>
        <v>ZAMORA</v>
      </c>
      <c r="M682" s="6" t="s">
        <v>3253</v>
      </c>
      <c r="N682" s="6" t="str">
        <f>'[1]V, inciso p) (OP)'!X344</f>
        <v>GCT12060233A</v>
      </c>
      <c r="O682" s="11">
        <f t="shared" si="19"/>
        <v>9862524.5899999999</v>
      </c>
      <c r="P682" s="11">
        <v>9862522.5099999998</v>
      </c>
      <c r="Q682" s="19" t="s">
        <v>409</v>
      </c>
      <c r="R682" s="15">
        <f>O682/5324</f>
        <v>1852.4651746806912</v>
      </c>
      <c r="S682" s="7" t="s">
        <v>41</v>
      </c>
      <c r="T682" s="12">
        <v>867</v>
      </c>
      <c r="U682" s="13" t="s">
        <v>42</v>
      </c>
      <c r="V682" s="7" t="s">
        <v>43</v>
      </c>
      <c r="W682" s="10">
        <f>'[1]V, inciso p) (OP)'!AM344</f>
        <v>43245</v>
      </c>
      <c r="X682" s="10">
        <f>'[1]V, inciso p) (OP)'!AN344</f>
        <v>43344</v>
      </c>
      <c r="Y682" s="7" t="s">
        <v>411</v>
      </c>
      <c r="Z682" s="7" t="s">
        <v>412</v>
      </c>
      <c r="AA682" s="7" t="s">
        <v>413</v>
      </c>
      <c r="AB682" s="21" t="s">
        <v>2461</v>
      </c>
      <c r="AC682" s="6" t="s">
        <v>2438</v>
      </c>
      <c r="AD682" s="6"/>
    </row>
    <row r="683" spans="1:30" ht="69.95" customHeight="1">
      <c r="A683" s="34">
        <v>47</v>
      </c>
      <c r="B683" s="7">
        <v>2018</v>
      </c>
      <c r="C683" s="6" t="str">
        <f>'[1]V, inciso p) (OP)'!B345</f>
        <v>Licitación Pública</v>
      </c>
      <c r="D683" s="6" t="str">
        <f>'[1]V, inciso p) (OP)'!D345</f>
        <v>DOPI-FED-PR-PAV-LP-047-2018</v>
      </c>
      <c r="E683" s="10">
        <f>'[1]V, inciso p) (OP)'!AD345</f>
        <v>43245</v>
      </c>
      <c r="F683" s="6" t="str">
        <f>'[1]V, inciso p) (OP)'!AL345</f>
        <v>Construcción de la calle Ramón Corona con concreto hidráulico entre la calle Manuel M. Diéguez y López Cotilla, en la colonia Jocotán, municipio de Zapopan, Jalisco.</v>
      </c>
      <c r="G683" s="6" t="s">
        <v>3336</v>
      </c>
      <c r="H683" s="25">
        <v>3769378.26</v>
      </c>
      <c r="I683" s="6" t="str">
        <f>'[1]V, inciso p) (OP)'!AS345</f>
        <v>Colonia Jocotán</v>
      </c>
      <c r="J683" s="6" t="str">
        <f>'[1]V, inciso p) (OP)'!T345</f>
        <v>MA. LUIZA</v>
      </c>
      <c r="K683" s="6" t="str">
        <f>'[1]V, inciso p) (OP)'!U345</f>
        <v>MARTÍNEZ</v>
      </c>
      <c r="L683" s="6" t="str">
        <f>'[1]V, inciso p) (OP)'!V345</f>
        <v>ALMARAZ</v>
      </c>
      <c r="M683" s="6" t="s">
        <v>3254</v>
      </c>
      <c r="N683" s="6" t="str">
        <f>'[1]V, inciso p) (OP)'!X345</f>
        <v>JAS170622TX0</v>
      </c>
      <c r="O683" s="11">
        <f t="shared" si="19"/>
        <v>3769378.26</v>
      </c>
      <c r="P683" s="11">
        <v>3769378.24</v>
      </c>
      <c r="Q683" s="19" t="s">
        <v>1207</v>
      </c>
      <c r="R683" s="15">
        <f>O683/1611</f>
        <v>2339.7754562383611</v>
      </c>
      <c r="S683" s="7" t="s">
        <v>41</v>
      </c>
      <c r="T683" s="12">
        <v>863</v>
      </c>
      <c r="U683" s="13" t="s">
        <v>42</v>
      </c>
      <c r="V683" s="7" t="s">
        <v>43</v>
      </c>
      <c r="W683" s="10">
        <f>'[1]V, inciso p) (OP)'!AM345</f>
        <v>43245</v>
      </c>
      <c r="X683" s="10">
        <f>'[1]V, inciso p) (OP)'!AN345</f>
        <v>43344</v>
      </c>
      <c r="Y683" s="7" t="s">
        <v>317</v>
      </c>
      <c r="Z683" s="7" t="s">
        <v>191</v>
      </c>
      <c r="AA683" s="7" t="s">
        <v>192</v>
      </c>
      <c r="AB683" s="21" t="s">
        <v>2462</v>
      </c>
      <c r="AC683" s="6" t="s">
        <v>2438</v>
      </c>
      <c r="AD683" s="6"/>
    </row>
    <row r="684" spans="1:30" ht="69.95" customHeight="1">
      <c r="A684" s="34">
        <v>48</v>
      </c>
      <c r="B684" s="7">
        <v>2018</v>
      </c>
      <c r="C684" s="6" t="str">
        <f>'[1]V, inciso p) (OP)'!B346</f>
        <v>Licitación Pública</v>
      </c>
      <c r="D684" s="6" t="str">
        <f>'[1]V, inciso p) (OP)'!D346</f>
        <v>DOPI-FED-PR-PAV-LP-048-2018</v>
      </c>
      <c r="E684" s="10">
        <f>'[1]V, inciso p) (OP)'!AD346</f>
        <v>43245</v>
      </c>
      <c r="F684" s="6" t="str">
        <f>'[1]V, inciso p) (OP)'!AL346</f>
        <v>Construcción de calle Calzada Norte con empedrado tradicional y huellas de concreto hidráulico entre la calle Calzada Central y calle Calzada de Los Álamos, en la colonia Ciudad Granja, municipio de Zapopan, Jalisco.</v>
      </c>
      <c r="G684" s="6" t="s">
        <v>3336</v>
      </c>
      <c r="H684" s="25">
        <v>9890000</v>
      </c>
      <c r="I684" s="6" t="str">
        <f>'[1]V, inciso p) (OP)'!AS346</f>
        <v>Colonia Ciudad Granja</v>
      </c>
      <c r="J684" s="6" t="str">
        <f>'[1]V, inciso p) (OP)'!T346</f>
        <v>HAYDEE LILIANA</v>
      </c>
      <c r="K684" s="6" t="str">
        <f>'[1]V, inciso p) (OP)'!U346</f>
        <v>AGUILAR</v>
      </c>
      <c r="L684" s="6" t="str">
        <f>'[1]V, inciso p) (OP)'!V346</f>
        <v>CASSIAN</v>
      </c>
      <c r="M684" s="6" t="s">
        <v>1690</v>
      </c>
      <c r="N684" s="6" t="str">
        <f>'[1]V, inciso p) (OP)'!X346</f>
        <v>EDM970225I68</v>
      </c>
      <c r="O684" s="11">
        <f t="shared" si="19"/>
        <v>9890000</v>
      </c>
      <c r="P684" s="11">
        <v>9890000</v>
      </c>
      <c r="Q684" s="19" t="s">
        <v>1208</v>
      </c>
      <c r="R684" s="15">
        <f>O684/3302</f>
        <v>2995.1544518473652</v>
      </c>
      <c r="S684" s="7" t="s">
        <v>41</v>
      </c>
      <c r="T684" s="12">
        <v>4988</v>
      </c>
      <c r="U684" s="13" t="s">
        <v>42</v>
      </c>
      <c r="V684" s="7" t="s">
        <v>43</v>
      </c>
      <c r="W684" s="10">
        <f>'[1]V, inciso p) (OP)'!AM346</f>
        <v>43245</v>
      </c>
      <c r="X684" s="10">
        <f>'[1]V, inciso p) (OP)'!AN346</f>
        <v>43344</v>
      </c>
      <c r="Y684" s="7" t="s">
        <v>380</v>
      </c>
      <c r="Z684" s="7" t="s">
        <v>45</v>
      </c>
      <c r="AA684" s="7" t="s">
        <v>46</v>
      </c>
      <c r="AB684" s="21" t="s">
        <v>2814</v>
      </c>
      <c r="AC684" s="6" t="s">
        <v>2438</v>
      </c>
      <c r="AD684" s="6"/>
    </row>
    <row r="685" spans="1:30" ht="69.95" customHeight="1">
      <c r="A685" s="34">
        <v>49</v>
      </c>
      <c r="B685" s="7">
        <v>2018</v>
      </c>
      <c r="C685" s="6" t="str">
        <f>'[1]V, inciso p) (OP)'!B347</f>
        <v>Licitación Pública</v>
      </c>
      <c r="D685" s="6" t="str">
        <f>'[1]V, inciso p) (OP)'!D347</f>
        <v>DOPI-MUN-RM-ID-LP-049-2018</v>
      </c>
      <c r="E685" s="10">
        <f>'[1]V, inciso p) (OP)'!AD347</f>
        <v>43245</v>
      </c>
      <c r="F685" s="32" t="str">
        <f>'[1]V, inciso p) (OP)'!AL347</f>
        <v>Rehabilitación de la Unidad Deportiva República, primera etapa (ingreso Principal, rehabilitación de dos canchas de usos múltiples, rehabilitación de gradas, alumbrado, rehabilitación de cancha de futbol, skatepark y cercado perimetral), municipio de Zapopan, Jalisco.</v>
      </c>
      <c r="G685" s="6" t="s">
        <v>63</v>
      </c>
      <c r="H685" s="25">
        <v>6221904.4100000001</v>
      </c>
      <c r="I685" s="6" t="str">
        <f>'[1]V, inciso p) (OP)'!AS347</f>
        <v>Colonia San Francisco</v>
      </c>
      <c r="J685" s="6" t="str">
        <f>'[1]V, inciso p) (OP)'!T347</f>
        <v>OMAR</v>
      </c>
      <c r="K685" s="6" t="str">
        <f>'[1]V, inciso p) (OP)'!U347</f>
        <v>MORA</v>
      </c>
      <c r="L685" s="6" t="str">
        <f>'[1]V, inciso p) (OP)'!V347</f>
        <v>MONTES DE OCA</v>
      </c>
      <c r="M685" s="6" t="s">
        <v>3178</v>
      </c>
      <c r="N685" s="6" t="str">
        <f>'[1]V, inciso p) (OP)'!X347</f>
        <v>DCO130215C16</v>
      </c>
      <c r="O685" s="11">
        <f t="shared" si="19"/>
        <v>6221904.4100000001</v>
      </c>
      <c r="P685" s="11">
        <v>6120350.5016000001</v>
      </c>
      <c r="Q685" s="19" t="s">
        <v>1209</v>
      </c>
      <c r="R685" s="15">
        <f>O685/1091</f>
        <v>5702.9371310724109</v>
      </c>
      <c r="S685" s="7" t="s">
        <v>41</v>
      </c>
      <c r="T685" s="12">
        <v>4233</v>
      </c>
      <c r="U685" s="13" t="s">
        <v>42</v>
      </c>
      <c r="V685" s="43" t="s">
        <v>43</v>
      </c>
      <c r="W685" s="10">
        <f>'[1]V, inciso p) (OP)'!AM347</f>
        <v>43245</v>
      </c>
      <c r="X685" s="10">
        <f>'[1]V, inciso p) (OP)'!AN347</f>
        <v>43334</v>
      </c>
      <c r="Y685" s="7" t="s">
        <v>431</v>
      </c>
      <c r="Z685" s="7" t="s">
        <v>181</v>
      </c>
      <c r="AA685" s="7" t="s">
        <v>89</v>
      </c>
      <c r="AB685" s="21" t="s">
        <v>2463</v>
      </c>
      <c r="AC685" s="6" t="s">
        <v>2438</v>
      </c>
      <c r="AD685" s="6"/>
    </row>
    <row r="686" spans="1:30" ht="69.95" customHeight="1">
      <c r="A686" s="34">
        <v>50</v>
      </c>
      <c r="B686" s="7">
        <v>2018</v>
      </c>
      <c r="C686" s="6" t="str">
        <f>'[1]V, inciso p) (OP)'!B348</f>
        <v>Concurso por Invitación</v>
      </c>
      <c r="D686" s="6" t="str">
        <f>'[1]V, inciso p) (OP)'!D348</f>
        <v>DOPI-EST-FOCOCI-PAV-CI-050-2018</v>
      </c>
      <c r="E686" s="10">
        <f>'[1]V, inciso p) (OP)'!AD348</f>
        <v>43248</v>
      </c>
      <c r="F686" s="32" t="str">
        <f>'[1]V, inciso p) (OP)'!AL348</f>
        <v>Pavimentación con concreto hidráulico en la Av. Palmira incluye: drenaje sanitario, agua potable, drenaje pluvial, banquetas, peatonalización, señalamiento y obras complementarias, en las colonias Palmira y Florida, en el municipio de Zapopan, Jalisco.</v>
      </c>
      <c r="G686" s="6" t="s">
        <v>3338</v>
      </c>
      <c r="H686" s="25">
        <v>4892294.8099999996</v>
      </c>
      <c r="I686" s="6" t="str">
        <f>'[1]V, inciso p) (OP)'!AS348</f>
        <v>Colonias Palmira y Florida</v>
      </c>
      <c r="J686" s="6" t="str">
        <f>'[1]V, inciso p) (OP)'!T348</f>
        <v xml:space="preserve">EDUARDO </v>
      </c>
      <c r="K686" s="6" t="str">
        <f>'[1]V, inciso p) (OP)'!U348</f>
        <v>CRUZ</v>
      </c>
      <c r="L686" s="6" t="str">
        <f>'[1]V, inciso p) (OP)'!V348</f>
        <v>MOGUEL</v>
      </c>
      <c r="M686" s="6" t="s">
        <v>1941</v>
      </c>
      <c r="N686" s="6" t="str">
        <f>'[1]V, inciso p) (OP)'!X348</f>
        <v>BAL990803661</v>
      </c>
      <c r="O686" s="11">
        <f t="shared" si="19"/>
        <v>4892294.8099999996</v>
      </c>
      <c r="P686" s="11">
        <v>4892294.71</v>
      </c>
      <c r="Q686" s="19" t="s">
        <v>1210</v>
      </c>
      <c r="R686" s="15">
        <f>O686/2347</f>
        <v>2084.48862803579</v>
      </c>
      <c r="S686" s="7" t="s">
        <v>41</v>
      </c>
      <c r="T686" s="12">
        <v>1203</v>
      </c>
      <c r="U686" s="13" t="s">
        <v>42</v>
      </c>
      <c r="V686" s="7" t="s">
        <v>43</v>
      </c>
      <c r="W686" s="10">
        <f>'[1]V, inciso p) (OP)'!AM348</f>
        <v>43248</v>
      </c>
      <c r="X686" s="10">
        <f>'[1]V, inciso p) (OP)'!AN348</f>
        <v>43352</v>
      </c>
      <c r="Y686" s="7" t="s">
        <v>722</v>
      </c>
      <c r="Z686" s="7" t="s">
        <v>231</v>
      </c>
      <c r="AA686" s="7" t="s">
        <v>143</v>
      </c>
      <c r="AB686" s="21" t="s">
        <v>2464</v>
      </c>
      <c r="AC686" s="6" t="s">
        <v>2438</v>
      </c>
      <c r="AD686" s="6"/>
    </row>
    <row r="687" spans="1:30" ht="69.95" customHeight="1">
      <c r="A687" s="34">
        <v>51</v>
      </c>
      <c r="B687" s="7">
        <v>2018</v>
      </c>
      <c r="C687" s="6" t="str">
        <f>'[1]V, inciso p) (OP)'!B349</f>
        <v>Concurso por Invitación</v>
      </c>
      <c r="D687" s="6" t="str">
        <f>'[1]V, inciso p) (OP)'!D349</f>
        <v>DOPI-EST-FOCOCI-IM-CI-051-2018</v>
      </c>
      <c r="E687" s="10">
        <f>'[1]V, inciso p) (OP)'!AD349</f>
        <v>43248</v>
      </c>
      <c r="F687" s="6" t="str">
        <f>'[1]V, inciso p) (OP)'!AL349</f>
        <v>Construcción de Centro Comunitario San Juan de Ocotán, segunda etapa, en el municipio de Zapopan, Jalisco, frente 1.</v>
      </c>
      <c r="G687" s="6" t="s">
        <v>3338</v>
      </c>
      <c r="H687" s="25">
        <v>4901568.4000000004</v>
      </c>
      <c r="I687" s="6" t="str">
        <f>'[1]V, inciso p) (OP)'!AS349</f>
        <v>Colonia San Juan de Ocotán</v>
      </c>
      <c r="J687" s="6" t="str">
        <f>'[1]V, inciso p) (OP)'!T349</f>
        <v>JOSÉ ANTONIO</v>
      </c>
      <c r="K687" s="6" t="str">
        <f>'[1]V, inciso p) (OP)'!U349</f>
        <v>CISNEROS</v>
      </c>
      <c r="L687" s="6" t="str">
        <f>'[1]V, inciso p) (OP)'!V349</f>
        <v>CASTILLO</v>
      </c>
      <c r="M687" s="6" t="s">
        <v>3160</v>
      </c>
      <c r="N687" s="6" t="str">
        <f>'[1]V, inciso p) (OP)'!X349</f>
        <v>APE111122MI0</v>
      </c>
      <c r="O687" s="11">
        <f t="shared" si="19"/>
        <v>4901568.4000000004</v>
      </c>
      <c r="P687" s="11">
        <v>4901568.4000000004</v>
      </c>
      <c r="Q687" s="19" t="s">
        <v>1211</v>
      </c>
      <c r="R687" s="15">
        <f>O687/2027</f>
        <v>2418.1393191909228</v>
      </c>
      <c r="S687" s="7" t="s">
        <v>41</v>
      </c>
      <c r="T687" s="12">
        <v>4698</v>
      </c>
      <c r="U687" s="13" t="s">
        <v>42</v>
      </c>
      <c r="V687" s="7" t="s">
        <v>43</v>
      </c>
      <c r="W687" s="10">
        <f>'[1]V, inciso p) (OP)'!AM349</f>
        <v>43248</v>
      </c>
      <c r="X687" s="10">
        <f>'[1]V, inciso p) (OP)'!AN349</f>
        <v>43347</v>
      </c>
      <c r="Y687" s="7" t="s">
        <v>722</v>
      </c>
      <c r="Z687" s="7" t="s">
        <v>231</v>
      </c>
      <c r="AA687" s="7" t="s">
        <v>143</v>
      </c>
      <c r="AB687" s="21" t="s">
        <v>2465</v>
      </c>
      <c r="AC687" s="6" t="s">
        <v>2438</v>
      </c>
      <c r="AD687" s="6"/>
    </row>
    <row r="688" spans="1:30" ht="69.95" customHeight="1">
      <c r="A688" s="34">
        <v>52</v>
      </c>
      <c r="B688" s="7">
        <v>2018</v>
      </c>
      <c r="C688" s="6" t="str">
        <f>'[1]V, inciso p) (OP)'!B350</f>
        <v>Concurso por Invitación</v>
      </c>
      <c r="D688" s="6" t="str">
        <f>'[1]V, inciso p) (OP)'!D350</f>
        <v>DOPI-EST-FOCOCI-IM-CI-052-2018</v>
      </c>
      <c r="E688" s="10">
        <f>'[1]V, inciso p) (OP)'!AD350</f>
        <v>43248</v>
      </c>
      <c r="F688" s="6" t="str">
        <f>'[1]V, inciso p) (OP)'!AL350</f>
        <v>Construcción de Centro Comunitario San Juan de Ocotán, segunda etapa, en el municipio de Zapopan, Jalisco, frente 2.</v>
      </c>
      <c r="G688" s="6" t="s">
        <v>3338</v>
      </c>
      <c r="H688" s="25">
        <v>4893781.5199999996</v>
      </c>
      <c r="I688" s="6" t="str">
        <f>'[1]V, inciso p) (OP)'!AS350</f>
        <v>Colonia San Juan de Ocotán</v>
      </c>
      <c r="J688" s="6" t="str">
        <f>'[1]V, inciso p) (OP)'!T350</f>
        <v>JUAN JOSÉ</v>
      </c>
      <c r="K688" s="6" t="str">
        <f>'[1]V, inciso p) (OP)'!U350</f>
        <v>GUTIÉRREZ</v>
      </c>
      <c r="L688" s="6" t="str">
        <f>'[1]V, inciso p) (OP)'!V350</f>
        <v>CONTRERAS</v>
      </c>
      <c r="M688" s="6" t="s">
        <v>3158</v>
      </c>
      <c r="N688" s="6" t="str">
        <f>'[1]V, inciso p) (OP)'!X350</f>
        <v>RCO130920JX9</v>
      </c>
      <c r="O688" s="11">
        <f t="shared" si="19"/>
        <v>4893781.5199999996</v>
      </c>
      <c r="P688" s="11">
        <v>4893755.1199999992</v>
      </c>
      <c r="Q688" s="19" t="s">
        <v>1211</v>
      </c>
      <c r="R688" s="15">
        <f>O688/2027</f>
        <v>2414.2977405032066</v>
      </c>
      <c r="S688" s="7" t="s">
        <v>41</v>
      </c>
      <c r="T688" s="12">
        <v>4698</v>
      </c>
      <c r="U688" s="13" t="s">
        <v>42</v>
      </c>
      <c r="V688" s="7" t="s">
        <v>43</v>
      </c>
      <c r="W688" s="10">
        <f>'[1]V, inciso p) (OP)'!AM350</f>
        <v>43248</v>
      </c>
      <c r="X688" s="10">
        <f>'[1]V, inciso p) (OP)'!AN350</f>
        <v>43347</v>
      </c>
      <c r="Y688" s="7" t="s">
        <v>722</v>
      </c>
      <c r="Z688" s="7" t="s">
        <v>231</v>
      </c>
      <c r="AA688" s="7" t="s">
        <v>143</v>
      </c>
      <c r="AB688" s="21" t="s">
        <v>2515</v>
      </c>
      <c r="AC688" s="6" t="s">
        <v>2438</v>
      </c>
      <c r="AD688" s="6"/>
    </row>
    <row r="689" spans="1:30" ht="69.95" customHeight="1">
      <c r="A689" s="34">
        <v>54</v>
      </c>
      <c r="B689" s="7">
        <v>2018</v>
      </c>
      <c r="C689" s="6" t="str">
        <f>'[1]V, inciso p) (OP)'!B352</f>
        <v>Concurso por Invitación</v>
      </c>
      <c r="D689" s="6" t="str">
        <f>'[1]V, inciso p) (OP)'!D352</f>
        <v>DOPI-EST-FOCOCI-PAV-CI-054-2018</v>
      </c>
      <c r="E689" s="10">
        <f>'[1]V, inciso p) (OP)'!AD352</f>
        <v>43248</v>
      </c>
      <c r="F689" s="6" t="str">
        <f>'[1]V, inciso p) (OP)'!AL352</f>
        <v>Reconstrucción del puente que cruza el arroyo La Culebra por la calle San Florencio, dentro del fraccionamiento Residencial Colomos Patria.</v>
      </c>
      <c r="G689" s="6" t="s">
        <v>3338</v>
      </c>
      <c r="H689" s="25">
        <v>4410000</v>
      </c>
      <c r="I689" s="6" t="str">
        <f>'[1]V, inciso p) (OP)'!AS352</f>
        <v>Fraccionamiento Residencial Colomos Patria</v>
      </c>
      <c r="J689" s="6" t="str">
        <f>'[1]V, inciso p) (OP)'!T352</f>
        <v>DAVID EDUARDO</v>
      </c>
      <c r="K689" s="6" t="str">
        <f>'[1]V, inciso p) (OP)'!U352</f>
        <v>LARA</v>
      </c>
      <c r="L689" s="6" t="str">
        <f>'[1]V, inciso p) (OP)'!V352</f>
        <v>OCHOA</v>
      </c>
      <c r="M689" s="6" t="s">
        <v>3255</v>
      </c>
      <c r="N689" s="6" t="str">
        <f>'[1]V, inciso p) (OP)'!X352</f>
        <v>CIC080626ER2</v>
      </c>
      <c r="O689" s="11">
        <f t="shared" si="19"/>
        <v>4410000</v>
      </c>
      <c r="P689" s="11">
        <v>4409999.2265000008</v>
      </c>
      <c r="Q689" s="19" t="s">
        <v>1212</v>
      </c>
      <c r="R689" s="15">
        <f>O689/101</f>
        <v>43663.366336633662</v>
      </c>
      <c r="S689" s="7" t="s">
        <v>41</v>
      </c>
      <c r="T689" s="12">
        <v>1025</v>
      </c>
      <c r="U689" s="13" t="s">
        <v>42</v>
      </c>
      <c r="V689" s="7" t="s">
        <v>43</v>
      </c>
      <c r="W689" s="10">
        <f>'[1]V, inciso p) (OP)'!AM352</f>
        <v>43248</v>
      </c>
      <c r="X689" s="10">
        <f>'[1]V, inciso p) (OP)'!AN352</f>
        <v>43337</v>
      </c>
      <c r="Y689" s="7" t="s">
        <v>317</v>
      </c>
      <c r="Z689" s="7" t="s">
        <v>191</v>
      </c>
      <c r="AA689" s="7" t="s">
        <v>192</v>
      </c>
      <c r="AB689" s="21" t="s">
        <v>2466</v>
      </c>
      <c r="AC689" s="6" t="s">
        <v>2438</v>
      </c>
      <c r="AD689" s="6"/>
    </row>
    <row r="690" spans="1:30" ht="69.95" customHeight="1">
      <c r="A690" s="34">
        <v>55</v>
      </c>
      <c r="B690" s="7">
        <v>2018</v>
      </c>
      <c r="C690" s="6" t="str">
        <f>'[1]V, inciso p) (OP)'!B353</f>
        <v>Concurso por Invitación</v>
      </c>
      <c r="D690" s="6" t="str">
        <f>'[1]V, inciso p) (OP)'!D353</f>
        <v>DOPI-EST-FOCOCI-ID-CI-055-2018</v>
      </c>
      <c r="E690" s="10">
        <f>'[1]V, inciso p) (OP)'!AD353</f>
        <v>43248</v>
      </c>
      <c r="F690" s="6" t="str">
        <f>'[1]V, inciso p) (OP)'!AL353</f>
        <v>Rehabilitación del parque unidad de manejo ambiental Villa Fantasía, en la colonia Tepeyac, Segunda etapa, frente 1.</v>
      </c>
      <c r="G690" s="6" t="s">
        <v>3338</v>
      </c>
      <c r="H690" s="25">
        <v>7291752.0700000003</v>
      </c>
      <c r="I690" s="6" t="str">
        <f>'[1]V, inciso p) (OP)'!AS353</f>
        <v>Colonia Tepeyac</v>
      </c>
      <c r="J690" s="6" t="str">
        <f>'[1]V, inciso p) (OP)'!T353</f>
        <v>ERICK</v>
      </c>
      <c r="K690" s="6" t="str">
        <f>'[1]V, inciso p) (OP)'!U353</f>
        <v>VILLASEÑOR</v>
      </c>
      <c r="L690" s="6" t="str">
        <f>'[1]V, inciso p) (OP)'!V353</f>
        <v>GUTIÉRREZ</v>
      </c>
      <c r="M690" s="6" t="s">
        <v>1843</v>
      </c>
      <c r="N690" s="6" t="str">
        <f>'[1]V, inciso p) (OP)'!X353</f>
        <v>PCO140829425</v>
      </c>
      <c r="O690" s="11">
        <f t="shared" si="19"/>
        <v>7291752.0700000003</v>
      </c>
      <c r="P690" s="11">
        <v>7291752.0700000003</v>
      </c>
      <c r="Q690" s="19" t="s">
        <v>1213</v>
      </c>
      <c r="R690" s="15">
        <f>O690/467</f>
        <v>15614.030128479659</v>
      </c>
      <c r="S690" s="7" t="s">
        <v>41</v>
      </c>
      <c r="T690" s="12">
        <v>1332272</v>
      </c>
      <c r="U690" s="13" t="s">
        <v>42</v>
      </c>
      <c r="V690" s="7" t="s">
        <v>43</v>
      </c>
      <c r="W690" s="10">
        <f>'[1]V, inciso p) (OP)'!AM353</f>
        <v>43248</v>
      </c>
      <c r="X690" s="10">
        <f>'[1]V, inciso p) (OP)'!AN353</f>
        <v>43354</v>
      </c>
      <c r="Y690" s="7" t="s">
        <v>811</v>
      </c>
      <c r="Z690" s="7" t="s">
        <v>812</v>
      </c>
      <c r="AA690" s="7" t="s">
        <v>46</v>
      </c>
      <c r="AB690" s="21" t="s">
        <v>2516</v>
      </c>
      <c r="AC690" s="6" t="s">
        <v>2438</v>
      </c>
      <c r="AD690" s="6"/>
    </row>
    <row r="691" spans="1:30" ht="69.95" customHeight="1">
      <c r="A691" s="34">
        <v>56</v>
      </c>
      <c r="B691" s="7">
        <v>2018</v>
      </c>
      <c r="C691" s="6" t="str">
        <f>'[1]V, inciso p) (OP)'!B354</f>
        <v>Concurso por Invitación</v>
      </c>
      <c r="D691" s="6" t="str">
        <f>'[1]V, inciso p) (OP)'!D354</f>
        <v>DOPI-EST-FOCOCI-ID-CI-056-2018</v>
      </c>
      <c r="E691" s="10">
        <f>'[1]V, inciso p) (OP)'!AD354</f>
        <v>43248</v>
      </c>
      <c r="F691" s="6" t="str">
        <f>'[1]V, inciso p) (OP)'!AL354</f>
        <v>Rehabilitación del parque unidad de manejo ambiental Villa Fantasía, en la colonia Tepeyac, Segunda etapa, frente 2.</v>
      </c>
      <c r="G691" s="6" t="s">
        <v>3338</v>
      </c>
      <c r="H691" s="25">
        <v>6127361.4799999995</v>
      </c>
      <c r="I691" s="6" t="str">
        <f>'[1]V, inciso p) (OP)'!AS354</f>
        <v>Colonia Tepeyac</v>
      </c>
      <c r="J691" s="6" t="str">
        <f>'[1]V, inciso p) (OP)'!T354</f>
        <v>OMAR</v>
      </c>
      <c r="K691" s="6" t="str">
        <f>'[1]V, inciso p) (OP)'!U354</f>
        <v>MORA</v>
      </c>
      <c r="L691" s="6" t="str">
        <f>'[1]V, inciso p) (OP)'!V354</f>
        <v>MONTES DE OCA</v>
      </c>
      <c r="M691" s="6" t="s">
        <v>3178</v>
      </c>
      <c r="N691" s="6" t="str">
        <f>'[1]V, inciso p) (OP)'!X354</f>
        <v>DCO130215C16</v>
      </c>
      <c r="O691" s="11">
        <f t="shared" si="19"/>
        <v>6127361.4799999995</v>
      </c>
      <c r="P691" s="11">
        <v>6127361.4806999993</v>
      </c>
      <c r="Q691" s="19" t="s">
        <v>1214</v>
      </c>
      <c r="R691" s="15">
        <f>O691/530</f>
        <v>11561.059396226414</v>
      </c>
      <c r="S691" s="7" t="s">
        <v>41</v>
      </c>
      <c r="T691" s="12">
        <v>1332272</v>
      </c>
      <c r="U691" s="13" t="s">
        <v>42</v>
      </c>
      <c r="V691" s="7" t="s">
        <v>43</v>
      </c>
      <c r="W691" s="10">
        <f>'[1]V, inciso p) (OP)'!AM354</f>
        <v>43248</v>
      </c>
      <c r="X691" s="10">
        <f>'[1]V, inciso p) (OP)'!AN354</f>
        <v>43354</v>
      </c>
      <c r="Y691" s="7" t="s">
        <v>811</v>
      </c>
      <c r="Z691" s="7" t="s">
        <v>812</v>
      </c>
      <c r="AA691" s="7" t="s">
        <v>46</v>
      </c>
      <c r="AB691" s="21" t="s">
        <v>2467</v>
      </c>
      <c r="AC691" s="6" t="s">
        <v>2438</v>
      </c>
      <c r="AD691" s="6"/>
    </row>
    <row r="692" spans="1:30" ht="69.95" customHeight="1">
      <c r="A692" s="34">
        <v>57</v>
      </c>
      <c r="B692" s="7">
        <v>2018</v>
      </c>
      <c r="C692" s="6" t="str">
        <f>'[1]V, inciso p) (OP)'!B355</f>
        <v>Concurso por Invitación</v>
      </c>
      <c r="D692" s="6" t="str">
        <f>'[1]V, inciso p) (OP)'!D355</f>
        <v>DOPI-EST-FOCOCI-ID-CI-057-2018</v>
      </c>
      <c r="E692" s="10">
        <f>'[1]V, inciso p) (OP)'!AD355</f>
        <v>43248</v>
      </c>
      <c r="F692" s="6" t="str">
        <f>'[1]V, inciso p) (OP)'!AL355</f>
        <v>Rehabilitación del parque unidad de manejo ambiental Villa Fantasía, en la colonia Tepeyac, Segunda etapa, frente 3.</v>
      </c>
      <c r="G692" s="6" t="s">
        <v>3338</v>
      </c>
      <c r="H692" s="25">
        <v>3436886.45</v>
      </c>
      <c r="I692" s="6" t="str">
        <f>'[1]V, inciso p) (OP)'!AS355</f>
        <v>Colonia Tepeyac</v>
      </c>
      <c r="J692" s="6" t="str">
        <f>'[1]V, inciso p) (OP)'!T355</f>
        <v>ERNESTO</v>
      </c>
      <c r="K692" s="6" t="str">
        <f>'[1]V, inciso p) (OP)'!U355</f>
        <v>OLIVARES</v>
      </c>
      <c r="L692" s="6" t="str">
        <f>'[1]V, inciso p) (OP)'!V355</f>
        <v>ÁLVAREZ</v>
      </c>
      <c r="M692" s="6" t="s">
        <v>2078</v>
      </c>
      <c r="N692" s="6" t="str">
        <f>'[1]V, inciso p) (OP)'!X355</f>
        <v>MIN170819GG1</v>
      </c>
      <c r="O692" s="11">
        <f t="shared" si="19"/>
        <v>3436886.45</v>
      </c>
      <c r="P692" s="11">
        <v>3436886.4400000004</v>
      </c>
      <c r="Q692" s="19" t="s">
        <v>1215</v>
      </c>
      <c r="R692" s="15">
        <f>O692/323</f>
        <v>10640.5153250774</v>
      </c>
      <c r="S692" s="7" t="s">
        <v>41</v>
      </c>
      <c r="T692" s="12">
        <v>1332272</v>
      </c>
      <c r="U692" s="13" t="s">
        <v>42</v>
      </c>
      <c r="V692" s="7" t="s">
        <v>43</v>
      </c>
      <c r="W692" s="10">
        <f>'[1]V, inciso p) (OP)'!AM355</f>
        <v>43248</v>
      </c>
      <c r="X692" s="10">
        <f>'[1]V, inciso p) (OP)'!AN355</f>
        <v>43354</v>
      </c>
      <c r="Y692" s="7" t="s">
        <v>811</v>
      </c>
      <c r="Z692" s="7" t="s">
        <v>812</v>
      </c>
      <c r="AA692" s="7" t="s">
        <v>46</v>
      </c>
      <c r="AB692" s="21" t="s">
        <v>2468</v>
      </c>
      <c r="AC692" s="6" t="s">
        <v>2438</v>
      </c>
      <c r="AD692" s="6"/>
    </row>
    <row r="693" spans="1:30" ht="69.95" customHeight="1">
      <c r="A693" s="34">
        <v>58</v>
      </c>
      <c r="B693" s="7">
        <v>2018</v>
      </c>
      <c r="C693" s="6" t="str">
        <f>'[1]V, inciso p) (OP)'!B356</f>
        <v>Licitación por Invitación Restringida</v>
      </c>
      <c r="D693" s="6" t="str">
        <f>'[1]V, inciso p) (OP)'!D356</f>
        <v>DOPI-MUN-CUSMAX-IE-CI-058-2018</v>
      </c>
      <c r="E693" s="10">
        <f>'[1]V, inciso p) (OP)'!AD356</f>
        <v>43248</v>
      </c>
      <c r="F693" s="32" t="str">
        <f>'[1]V, inciso p) (OP)'!AL356</f>
        <v>Estructura con lonaria y rehabilitación de Infraestructura en la Escuela C.A.M. 16 Niños Héroes (pintura en exterior, reparación de banquetas y barandales en patio cívico, impermeabilización), colonia Mariano Otero, municipio de Zapopan, Jalisco.</v>
      </c>
      <c r="G693" s="6" t="s">
        <v>3339</v>
      </c>
      <c r="H693" s="25">
        <v>3080060.64</v>
      </c>
      <c r="I693" s="6" t="str">
        <f>'[1]V, inciso p) (OP)'!AS356</f>
        <v>Colonia Mariano Otero</v>
      </c>
      <c r="J693" s="6" t="str">
        <f>'[1]V, inciso p) (OP)'!T356</f>
        <v xml:space="preserve">FELIPE DE JESÚS </v>
      </c>
      <c r="K693" s="6" t="str">
        <f>'[1]V, inciso p) (OP)'!U356</f>
        <v>DE LA CRUZ</v>
      </c>
      <c r="L693" s="6" t="str">
        <f>'[1]V, inciso p) (OP)'!V356</f>
        <v>REYES</v>
      </c>
      <c r="M693" s="6" t="s">
        <v>3256</v>
      </c>
      <c r="N693" s="6" t="str">
        <f>'[1]V, inciso p) (OP)'!X356</f>
        <v>MCO1005204Z5</v>
      </c>
      <c r="O693" s="11">
        <f t="shared" si="19"/>
        <v>3080060.64</v>
      </c>
      <c r="P693" s="11">
        <v>2880669.56</v>
      </c>
      <c r="Q693" s="19" t="s">
        <v>1216</v>
      </c>
      <c r="R693" s="15">
        <f>O693/469</f>
        <v>6567.2934754797443</v>
      </c>
      <c r="S693" s="7" t="s">
        <v>41</v>
      </c>
      <c r="T693" s="12">
        <v>1026</v>
      </c>
      <c r="U693" s="13" t="s">
        <v>42</v>
      </c>
      <c r="V693" s="43" t="s">
        <v>43</v>
      </c>
      <c r="W693" s="10">
        <f>'[1]V, inciso p) (OP)'!AM356</f>
        <v>43248</v>
      </c>
      <c r="X693" s="10">
        <f>'[1]V, inciso p) (OP)'!AN356</f>
        <v>43337</v>
      </c>
      <c r="Y693" s="7" t="s">
        <v>859</v>
      </c>
      <c r="Z693" s="7" t="s">
        <v>860</v>
      </c>
      <c r="AA693" s="7" t="s">
        <v>861</v>
      </c>
      <c r="AB693" s="21" t="s">
        <v>2469</v>
      </c>
      <c r="AC693" s="6" t="s">
        <v>2438</v>
      </c>
      <c r="AD693" s="6"/>
    </row>
    <row r="694" spans="1:30" ht="69.95" customHeight="1">
      <c r="A694" s="34">
        <v>59</v>
      </c>
      <c r="B694" s="7">
        <v>2018</v>
      </c>
      <c r="C694" s="6" t="str">
        <f>'[1]V, inciso p) (OP)'!B357</f>
        <v>Licitación por Invitación Restringida</v>
      </c>
      <c r="D694" s="6" t="str">
        <f>'[1]V, inciso p) (OP)'!D357</f>
        <v>DOPI-MUN-RM-IE-CI-059-2018</v>
      </c>
      <c r="E694" s="10">
        <f>'[1]V, inciso p) (OP)'!AD357</f>
        <v>43248</v>
      </c>
      <c r="F694" s="6" t="str">
        <f>'[1]V, inciso p) (OP)'!AL357</f>
        <v>Estructura con lonaria en CDI No. 3 Irene Robledo (Laureles) y en el CDI No. 2 Pablo Casals y en el CDI No. 7 Tepeyac, municipio de Zapopan, Jalisco.</v>
      </c>
      <c r="G694" s="6" t="s">
        <v>63</v>
      </c>
      <c r="H694" s="25">
        <v>5391810.3799999999</v>
      </c>
      <c r="I694" s="6" t="str">
        <f>'[1]V, inciso p) (OP)'!AS357</f>
        <v>Colonias Laureles y Tepeyac</v>
      </c>
      <c r="J694" s="6" t="str">
        <f>'[1]V, inciso p) (OP)'!T357</f>
        <v xml:space="preserve"> MARTHA </v>
      </c>
      <c r="K694" s="6" t="str">
        <f>'[1]V, inciso p) (OP)'!U357</f>
        <v>JIMÉNEZ</v>
      </c>
      <c r="L694" s="6" t="str">
        <f>'[1]V, inciso p) (OP)'!V357</f>
        <v>LÓPEZ</v>
      </c>
      <c r="M694" s="6" t="s">
        <v>1936</v>
      </c>
      <c r="N694" s="6" t="str">
        <f>'[1]V, inciso p) (OP)'!X357</f>
        <v>IBO090918ET9</v>
      </c>
      <c r="O694" s="11">
        <f t="shared" si="19"/>
        <v>5391810.3799999999</v>
      </c>
      <c r="P694" s="11">
        <v>1911381.48</v>
      </c>
      <c r="Q694" s="19" t="s">
        <v>1217</v>
      </c>
      <c r="R694" s="15">
        <f>O694/425</f>
        <v>12686.612658823529</v>
      </c>
      <c r="S694" s="7" t="s">
        <v>41</v>
      </c>
      <c r="T694" s="12">
        <v>1389</v>
      </c>
      <c r="U694" s="13" t="s">
        <v>42</v>
      </c>
      <c r="V694" s="43" t="s">
        <v>43</v>
      </c>
      <c r="W694" s="10">
        <f>'[1]V, inciso p) (OP)'!AM357</f>
        <v>43248</v>
      </c>
      <c r="X694" s="10">
        <f>'[1]V, inciso p) (OP)'!AN357</f>
        <v>43337</v>
      </c>
      <c r="Y694" s="7" t="s">
        <v>429</v>
      </c>
      <c r="Z694" s="7" t="s">
        <v>72</v>
      </c>
      <c r="AA694" s="7" t="s">
        <v>557</v>
      </c>
      <c r="AB694" s="21" t="s">
        <v>2470</v>
      </c>
      <c r="AC694" s="6" t="s">
        <v>2438</v>
      </c>
      <c r="AD694" s="6"/>
    </row>
    <row r="695" spans="1:30" ht="69.95" customHeight="1">
      <c r="A695" s="34">
        <v>60</v>
      </c>
      <c r="B695" s="7">
        <v>2018</v>
      </c>
      <c r="C695" s="6" t="str">
        <f>'[1]V, inciso p) (OP)'!B358</f>
        <v>Licitación por Invitación Restringida</v>
      </c>
      <c r="D695" s="6" t="str">
        <f>'[1]V, inciso p) (OP)'!D358</f>
        <v>DOPI-MUN-RM-IE-CI-060-2018</v>
      </c>
      <c r="E695" s="10">
        <f>'[1]V, inciso p) (OP)'!AD358</f>
        <v>43248</v>
      </c>
      <c r="F695" s="6" t="str">
        <f>'[1]V, inciso p) (OP)'!AL358</f>
        <v>Estructura con lonaria en CDI No. 10 Mercado del Mar y en el CDC Santa Ana Tepetitlán y en el CDC Santa Lucia, municipio de Zapopan, Jalisco.</v>
      </c>
      <c r="G695" s="6" t="s">
        <v>63</v>
      </c>
      <c r="H695" s="25">
        <v>5161116.47</v>
      </c>
      <c r="I695" s="6" t="str">
        <f>'[1]V, inciso p) (OP)'!AS358</f>
        <v>Colonias El Vigia, Santa Ana Tepetitlán y Santa Lucia</v>
      </c>
      <c r="J695" s="6" t="str">
        <f>'[1]V, inciso p) (OP)'!T358</f>
        <v>JOSÉ DE JESÚS</v>
      </c>
      <c r="K695" s="6" t="str">
        <f>'[1]V, inciso p) (OP)'!U358</f>
        <v>ROMERO</v>
      </c>
      <c r="L695" s="6" t="str">
        <f>'[1]V, inciso p) (OP)'!V358</f>
        <v>GARCÍA</v>
      </c>
      <c r="M695" s="6" t="s">
        <v>2006</v>
      </c>
      <c r="N695" s="6" t="str">
        <f>'[1]V, inciso p) (OP)'!X358</f>
        <v>ACK170710KI3</v>
      </c>
      <c r="O695" s="11">
        <f t="shared" si="19"/>
        <v>5161116.47</v>
      </c>
      <c r="P695" s="11">
        <v>5161113.59</v>
      </c>
      <c r="Q695" s="19" t="s">
        <v>1218</v>
      </c>
      <c r="R695" s="15">
        <f>O695/1044</f>
        <v>4943.5981513409961</v>
      </c>
      <c r="S695" s="7" t="s">
        <v>41</v>
      </c>
      <c r="T695" s="12">
        <v>5230</v>
      </c>
      <c r="U695" s="13" t="s">
        <v>42</v>
      </c>
      <c r="V695" s="43" t="s">
        <v>43</v>
      </c>
      <c r="W695" s="10">
        <f>'[1]V, inciso p) (OP)'!AM358</f>
        <v>43248</v>
      </c>
      <c r="X695" s="10">
        <f>'[1]V, inciso p) (OP)'!AN358</f>
        <v>43337</v>
      </c>
      <c r="Y695" s="7" t="s">
        <v>429</v>
      </c>
      <c r="Z695" s="7" t="s">
        <v>72</v>
      </c>
      <c r="AA695" s="7" t="s">
        <v>557</v>
      </c>
      <c r="AB695" s="21" t="s">
        <v>2471</v>
      </c>
      <c r="AC695" s="6" t="s">
        <v>2438</v>
      </c>
      <c r="AD695" s="6"/>
    </row>
    <row r="696" spans="1:30" ht="69.95" customHeight="1">
      <c r="A696" s="34">
        <v>61</v>
      </c>
      <c r="B696" s="7">
        <v>2018</v>
      </c>
      <c r="C696" s="6" t="str">
        <f>'[1]V, inciso p) (OP)'!B359</f>
        <v>Licitación por Invitación Restringida</v>
      </c>
      <c r="D696" s="6" t="str">
        <f>'[1]V, inciso p) (OP)'!D359</f>
        <v>DOPI-MUN-RM-IM-CI-061-2018</v>
      </c>
      <c r="E696" s="10">
        <f>'[1]V, inciso p) (OP)'!AD359</f>
        <v>43248</v>
      </c>
      <c r="F696" s="6" t="str">
        <f>'[1]V, inciso p) (OP)'!AL359</f>
        <v>Rehabilitación de planta baja de la Procuraduría de Protección a Niños, Niñas y Adolescentes, municipio de Zapopan, Jalisco.</v>
      </c>
      <c r="G696" s="6" t="s">
        <v>63</v>
      </c>
      <c r="H696" s="25">
        <v>4413801.8</v>
      </c>
      <c r="I696" s="6" t="str">
        <f>'[1]V, inciso p) (OP)'!AS359</f>
        <v>Colonia Ladrón de Guevara</v>
      </c>
      <c r="J696" s="6" t="str">
        <f>'[1]V, inciso p) (OP)'!T359</f>
        <v>ALFREDO</v>
      </c>
      <c r="K696" s="6" t="str">
        <f>'[1]V, inciso p) (OP)'!U359</f>
        <v>FLORES</v>
      </c>
      <c r="L696" s="6" t="str">
        <f>'[1]V, inciso p) (OP)'!V359</f>
        <v>CHÁVEZ</v>
      </c>
      <c r="M696" s="6" t="s">
        <v>3230</v>
      </c>
      <c r="N696" s="6" t="str">
        <f>'[1]V, inciso p) (OP)'!X359</f>
        <v>FOCA830904HT8</v>
      </c>
      <c r="O696" s="11">
        <f t="shared" si="19"/>
        <v>4413801.8</v>
      </c>
      <c r="P696" s="11">
        <v>4318517.74</v>
      </c>
      <c r="Q696" s="19" t="s">
        <v>1219</v>
      </c>
      <c r="R696" s="15">
        <f>O696/2716</f>
        <v>1625.111119293078</v>
      </c>
      <c r="S696" s="7" t="s">
        <v>41</v>
      </c>
      <c r="T696" s="12">
        <v>402153</v>
      </c>
      <c r="U696" s="13" t="s">
        <v>42</v>
      </c>
      <c r="V696" s="43" t="s">
        <v>43</v>
      </c>
      <c r="W696" s="10">
        <f>'[1]V, inciso p) (OP)'!AM359</f>
        <v>43248</v>
      </c>
      <c r="X696" s="10">
        <f>'[1]V, inciso p) (OP)'!AN359</f>
        <v>43337</v>
      </c>
      <c r="Y696" s="7" t="s">
        <v>599</v>
      </c>
      <c r="Z696" s="7" t="s">
        <v>307</v>
      </c>
      <c r="AA696" s="7" t="s">
        <v>61</v>
      </c>
      <c r="AB696" s="21" t="s">
        <v>2472</v>
      </c>
      <c r="AC696" s="6" t="s">
        <v>2438</v>
      </c>
      <c r="AD696" s="6"/>
    </row>
    <row r="697" spans="1:30" ht="69.95" customHeight="1">
      <c r="A697" s="16"/>
      <c r="B697" s="29">
        <v>2018</v>
      </c>
      <c r="C697" s="6" t="s">
        <v>2273</v>
      </c>
      <c r="D697" s="6" t="s">
        <v>1595</v>
      </c>
      <c r="E697" s="10">
        <v>43368</v>
      </c>
      <c r="F697" s="6" t="s">
        <v>1678</v>
      </c>
      <c r="G697" s="6" t="s">
        <v>63</v>
      </c>
      <c r="H697" s="25">
        <v>4083777.58</v>
      </c>
      <c r="I697" s="6" t="s">
        <v>1679</v>
      </c>
      <c r="J697" s="6" t="s">
        <v>1680</v>
      </c>
      <c r="K697" s="6" t="s">
        <v>1681</v>
      </c>
      <c r="L697" s="6" t="s">
        <v>1682</v>
      </c>
      <c r="M697" s="6" t="s">
        <v>1683</v>
      </c>
      <c r="N697" s="6" t="s">
        <v>1684</v>
      </c>
      <c r="O697" s="11">
        <v>4083777.58</v>
      </c>
      <c r="P697" s="11">
        <v>4083777.58</v>
      </c>
      <c r="Q697" s="19" t="s">
        <v>568</v>
      </c>
      <c r="R697" s="15">
        <v>3403.1479833333333</v>
      </c>
      <c r="S697" s="7" t="s">
        <v>41</v>
      </c>
      <c r="T697" s="12">
        <v>1365</v>
      </c>
      <c r="U697" s="13" t="s">
        <v>42</v>
      </c>
      <c r="V697" s="7" t="s">
        <v>373</v>
      </c>
      <c r="W697" s="10">
        <v>43381</v>
      </c>
      <c r="X697" s="10">
        <v>43485</v>
      </c>
      <c r="Y697" s="7" t="s">
        <v>859</v>
      </c>
      <c r="Z697" s="7" t="s">
        <v>860</v>
      </c>
      <c r="AA697" s="7" t="s">
        <v>861</v>
      </c>
      <c r="AB697" s="21" t="s">
        <v>2790</v>
      </c>
      <c r="AC697" s="6" t="s">
        <v>2438</v>
      </c>
      <c r="AD697" s="6"/>
    </row>
    <row r="698" spans="1:30" ht="69.95" customHeight="1">
      <c r="A698" s="16">
        <v>63</v>
      </c>
      <c r="B698" s="7">
        <v>2018</v>
      </c>
      <c r="C698" s="6" t="str">
        <f>'[1]V, inciso p) (OP)'!B360</f>
        <v>Licitación por Invitación Restringida</v>
      </c>
      <c r="D698" s="6" t="str">
        <f>'[1]V, inciso p) (OP)'!D360</f>
        <v>DOPI-MUN-RM-ID-CI-063-2018</v>
      </c>
      <c r="E698" s="10">
        <f>'[1]V, inciso p) (OP)'!AD360</f>
        <v>43248</v>
      </c>
      <c r="F698" s="6" t="str">
        <f>'[1]V, inciso p) (OP)'!AL360</f>
        <v>Rehabilitación de la Unidad Deportiva Casino Tepeyac, primera etapa(rehabilitación de cancha de usos múltiples, rehabilitación de cancha de tenis, alumbrado, modulo de baños, ingreso principal y cercado perimetral), municipio de Zapopan, Jalisco.</v>
      </c>
      <c r="G698" s="6" t="s">
        <v>63</v>
      </c>
      <c r="H698" s="25">
        <v>4478596.3499999996</v>
      </c>
      <c r="I698" s="6" t="str">
        <f>'[1]V, inciso p) (OP)'!AS360</f>
        <v>Colonia Tepeyac Casino</v>
      </c>
      <c r="J698" s="6" t="str">
        <f>'[1]V, inciso p) (OP)'!T360</f>
        <v>MARÍA ARCELIA</v>
      </c>
      <c r="K698" s="6" t="str">
        <f>'[1]V, inciso p) (OP)'!U360</f>
        <v>IÑIGUEZ</v>
      </c>
      <c r="L698" s="6" t="str">
        <f>'[1]V, inciso p) (OP)'!V360</f>
        <v>HERNÁNDEZ</v>
      </c>
      <c r="M698" s="6" t="s">
        <v>3182</v>
      </c>
      <c r="N698" s="6" t="str">
        <f>'[1]V, inciso p) (OP)'!X360</f>
        <v>COP1209104M8</v>
      </c>
      <c r="O698" s="11">
        <f t="shared" ref="O698:O733" si="20">H698</f>
        <v>4478596.3499999996</v>
      </c>
      <c r="P698" s="11">
        <v>4469605.26</v>
      </c>
      <c r="Q698" s="19" t="s">
        <v>937</v>
      </c>
      <c r="R698" s="15">
        <f>O698/660</f>
        <v>6785.7520454545447</v>
      </c>
      <c r="S698" s="7" t="s">
        <v>41</v>
      </c>
      <c r="T698" s="12">
        <v>1863</v>
      </c>
      <c r="U698" s="13" t="s">
        <v>42</v>
      </c>
      <c r="V698" s="43" t="s">
        <v>43</v>
      </c>
      <c r="W698" s="10">
        <f>'[1]V, inciso p) (OP)'!AM360</f>
        <v>43248</v>
      </c>
      <c r="X698" s="10">
        <f>'[1]V, inciso p) (OP)'!AN360</f>
        <v>43354</v>
      </c>
      <c r="Y698" s="7" t="s">
        <v>780</v>
      </c>
      <c r="Z698" s="7" t="s">
        <v>730</v>
      </c>
      <c r="AA698" s="7" t="s">
        <v>731</v>
      </c>
      <c r="AB698" s="21" t="s">
        <v>2275</v>
      </c>
      <c r="AC698" s="6" t="s">
        <v>2438</v>
      </c>
      <c r="AD698" s="6"/>
    </row>
    <row r="699" spans="1:30" ht="69.95" customHeight="1">
      <c r="A699" s="16">
        <v>64</v>
      </c>
      <c r="B699" s="7">
        <v>2018</v>
      </c>
      <c r="C699" s="6" t="str">
        <f>'[1]V, inciso p) (OP)'!B361</f>
        <v>Licitación por Invitación Restringida</v>
      </c>
      <c r="D699" s="6" t="str">
        <f>'[1]V, inciso p) (OP)'!D361</f>
        <v>DOPI-MUN-RM-IE-CI-064-2018</v>
      </c>
      <c r="E699" s="10">
        <f>'[1]V, inciso p) (OP)'!AD361</f>
        <v>43262</v>
      </c>
      <c r="F699" s="32" t="str">
        <f>'[1]V, inciso p) (OP)'!AL361</f>
        <v>Estructura con lonaria, rehabilitación de cancha de usos múltiples, peatonalización y obra complementaria en la Escuela Secundaria Francisco, Márquez, Calle Sayil, Colonia la Tuzanía, y en la en la Escuela Primaria Alfredo V. Bonifil, Calle Río Tomatlán, Colonia Loma Bonita Ejidal, Clave: 14EPR1115G. Clave: 14DES0079F, municipio de Zapopan, Jalisco.</v>
      </c>
      <c r="G699" s="6" t="s">
        <v>63</v>
      </c>
      <c r="H699" s="25">
        <v>3295056.61</v>
      </c>
      <c r="I699" s="6" t="str">
        <f>'[1]V, inciso p) (OP)'!AS361</f>
        <v>Colonias La Tuzania y Loma Bonita Ejidal</v>
      </c>
      <c r="J699" s="6" t="str">
        <f>'[1]V, inciso p) (OP)'!T361</f>
        <v>ARTURO</v>
      </c>
      <c r="K699" s="6" t="str">
        <f>'[1]V, inciso p) (OP)'!U361</f>
        <v>BOJORQUEZ</v>
      </c>
      <c r="L699" s="6" t="str">
        <f>'[1]V, inciso p) (OP)'!V361</f>
        <v>RIZO</v>
      </c>
      <c r="M699" s="6" t="s">
        <v>3196</v>
      </c>
      <c r="N699" s="6" t="str">
        <f>'[1]V, inciso p) (OP)'!X361</f>
        <v>ECL1301313F1</v>
      </c>
      <c r="O699" s="11">
        <f t="shared" si="20"/>
        <v>3295056.61</v>
      </c>
      <c r="P699" s="11">
        <v>2075302.3399999999</v>
      </c>
      <c r="Q699" s="19" t="s">
        <v>1220</v>
      </c>
      <c r="R699" s="15">
        <f>O699/678</f>
        <v>4859.965501474926</v>
      </c>
      <c r="S699" s="7" t="s">
        <v>41</v>
      </c>
      <c r="T699" s="12">
        <v>1799</v>
      </c>
      <c r="U699" s="13" t="s">
        <v>42</v>
      </c>
      <c r="V699" s="43" t="s">
        <v>43</v>
      </c>
      <c r="W699" s="10">
        <f>'[1]V, inciso p) (OP)'!AM361</f>
        <v>43262</v>
      </c>
      <c r="X699" s="10">
        <f>'[1]V, inciso p) (OP)'!AN361</f>
        <v>43351</v>
      </c>
      <c r="Y699" s="7" t="s">
        <v>429</v>
      </c>
      <c r="Z699" s="7" t="s">
        <v>72</v>
      </c>
      <c r="AA699" s="7" t="s">
        <v>557</v>
      </c>
      <c r="AB699" s="21" t="s">
        <v>2791</v>
      </c>
      <c r="AC699" s="6" t="s">
        <v>2438</v>
      </c>
      <c r="AD699" s="6"/>
    </row>
    <row r="700" spans="1:30" ht="69.95" customHeight="1">
      <c r="A700" s="16">
        <v>65</v>
      </c>
      <c r="B700" s="7">
        <v>2018</v>
      </c>
      <c r="C700" s="6" t="str">
        <f>'[1]V, inciso p) (OP)'!B362</f>
        <v>Licitación por Invitación Restringida</v>
      </c>
      <c r="D700" s="6" t="str">
        <f>'[1]V, inciso p) (OP)'!D362</f>
        <v>DOPI-MUN-RM-IE-CI-065-2018</v>
      </c>
      <c r="E700" s="10">
        <f>'[1]V, inciso p) (OP)'!AD362</f>
        <v>43248</v>
      </c>
      <c r="F700" s="32" t="str">
        <f>'[1]V, inciso p) (OP)'!AL362</f>
        <v>Estructura con lonaria, rehabilitación de cancha de usos múltiples, peatonalización y obra complementaria en la Escuela Pedro Moreno, en la localidad de Tesistán, y en la Escuela República Mexicana, Urbana 1155, Av. San Antonio No., Colonia San José Ejidal, Clave: 14EPR0931J, municipio de Zapopan, Jalisco.</v>
      </c>
      <c r="G700" s="6" t="s">
        <v>63</v>
      </c>
      <c r="H700" s="25">
        <v>4406553.7699999996</v>
      </c>
      <c r="I700" s="6" t="str">
        <f>'[1]V, inciso p) (OP)'!AS362</f>
        <v>Localidad de Tesitán y Colonia San José Ejidal</v>
      </c>
      <c r="J700" s="6" t="str">
        <f>'[1]V, inciso p) (OP)'!T362</f>
        <v>JESÚS</v>
      </c>
      <c r="K700" s="6" t="str">
        <f>'[1]V, inciso p) (OP)'!U362</f>
        <v>ARENAS</v>
      </c>
      <c r="L700" s="6" t="str">
        <f>'[1]V, inciso p) (OP)'!V362</f>
        <v>BRAVO</v>
      </c>
      <c r="M700" s="6" t="s">
        <v>3223</v>
      </c>
      <c r="N700" s="6" t="str">
        <f>'[1]V, inciso p) (OP)'!X362</f>
        <v>SIC940317FH7</v>
      </c>
      <c r="O700" s="11">
        <f t="shared" si="20"/>
        <v>4406553.7699999996</v>
      </c>
      <c r="P700" s="11">
        <f t="shared" ref="P700:P703" si="21">O700</f>
        <v>4406553.7699999996</v>
      </c>
      <c r="Q700" s="19" t="s">
        <v>1221</v>
      </c>
      <c r="R700" s="15">
        <f>O700/360</f>
        <v>12240.427138888888</v>
      </c>
      <c r="S700" s="7" t="s">
        <v>41</v>
      </c>
      <c r="T700" s="12">
        <v>1068</v>
      </c>
      <c r="U700" s="13" t="s">
        <v>42</v>
      </c>
      <c r="V700" s="7" t="s">
        <v>373</v>
      </c>
      <c r="W700" s="10">
        <f>'[1]V, inciso p) (OP)'!AM362</f>
        <v>43248</v>
      </c>
      <c r="X700" s="10">
        <f>'[1]V, inciso p) (OP)'!AN362</f>
        <v>43337</v>
      </c>
      <c r="Y700" s="7" t="s">
        <v>429</v>
      </c>
      <c r="Z700" s="7" t="s">
        <v>72</v>
      </c>
      <c r="AA700" s="7" t="s">
        <v>557</v>
      </c>
      <c r="AB700" s="21" t="s">
        <v>2473</v>
      </c>
      <c r="AC700" s="6" t="s">
        <v>2438</v>
      </c>
      <c r="AD700" s="6"/>
    </row>
    <row r="701" spans="1:30" ht="69.95" customHeight="1">
      <c r="A701" s="16">
        <v>66</v>
      </c>
      <c r="B701" s="7">
        <v>2018</v>
      </c>
      <c r="C701" s="6" t="str">
        <f>'[1]V, inciso p) (OP)'!B363</f>
        <v>Licitación por Invitación Restringida</v>
      </c>
      <c r="D701" s="6" t="str">
        <f>'[1]V, inciso p) (OP)'!D363</f>
        <v>DOPI-MUN-RM-IE-CI-066-2018</v>
      </c>
      <c r="E701" s="10">
        <f>'[1]V, inciso p) (OP)'!AD363</f>
        <v>43248</v>
      </c>
      <c r="F701" s="32" t="str">
        <f>'[1]V, inciso p) (OP)'!AL363</f>
        <v>Estructura con lonaria, rehabilitación de cancha de usos múltiples, peatonalización y obra complementaria Escuela Lázaro Cárdenas del Río, Calle Lázaro Cárdenas, Colonia Ejido Copalita, Clave: 14DPR0456Y, y en el Preescolar Jardín de Niños Xuchitla, Calle 20 de Enero No. 22, Colonia Indígena de San Juan de Ocotán, Clave 14DJN1802G, municipio de Zapopan, Jalisco.</v>
      </c>
      <c r="G701" s="6" t="s">
        <v>63</v>
      </c>
      <c r="H701" s="25">
        <v>3842378.3</v>
      </c>
      <c r="I701" s="6" t="str">
        <f>'[1]V, inciso p) (OP)'!AS363</f>
        <v>Ejido Copalita y San Juan de Ocotán</v>
      </c>
      <c r="J701" s="6" t="str">
        <f>'[1]V, inciso p) (OP)'!T363</f>
        <v>MIGUEL ÁNGEL</v>
      </c>
      <c r="K701" s="6" t="str">
        <f>'[1]V, inciso p) (OP)'!U363</f>
        <v>ROMERO</v>
      </c>
      <c r="L701" s="6" t="str">
        <f>'[1]V, inciso p) (OP)'!V363</f>
        <v>LUGO</v>
      </c>
      <c r="M701" s="6" t="s">
        <v>3179</v>
      </c>
      <c r="N701" s="6" t="str">
        <f>'[1]V, inciso p) (OP)'!X363</f>
        <v>OCC940714PB0</v>
      </c>
      <c r="O701" s="11">
        <f t="shared" si="20"/>
        <v>3842378.3</v>
      </c>
      <c r="P701" s="11">
        <f t="shared" si="21"/>
        <v>3842378.3</v>
      </c>
      <c r="Q701" s="19" t="s">
        <v>1222</v>
      </c>
      <c r="R701" s="15">
        <f>O701/532</f>
        <v>7222.5156015037592</v>
      </c>
      <c r="S701" s="7" t="s">
        <v>41</v>
      </c>
      <c r="T701" s="12">
        <v>14029</v>
      </c>
      <c r="U701" s="13" t="s">
        <v>42</v>
      </c>
      <c r="V701" s="7" t="s">
        <v>373</v>
      </c>
      <c r="W701" s="10">
        <f>'[1]V, inciso p) (OP)'!AM363</f>
        <v>43248</v>
      </c>
      <c r="X701" s="10">
        <f>'[1]V, inciso p) (OP)'!AN363</f>
        <v>43337</v>
      </c>
      <c r="Y701" s="7" t="s">
        <v>815</v>
      </c>
      <c r="Z701" s="7" t="s">
        <v>1223</v>
      </c>
      <c r="AA701" s="7" t="s">
        <v>463</v>
      </c>
      <c r="AB701" s="21" t="s">
        <v>2474</v>
      </c>
      <c r="AC701" s="6" t="s">
        <v>2438</v>
      </c>
      <c r="AD701" s="6"/>
    </row>
    <row r="702" spans="1:30" ht="69.95" customHeight="1">
      <c r="A702" s="16">
        <v>67</v>
      </c>
      <c r="B702" s="7">
        <v>2018</v>
      </c>
      <c r="C702" s="6" t="str">
        <f>'[1]V, inciso p) (OP)'!B364</f>
        <v>Licitación por Invitación Restringida</v>
      </c>
      <c r="D702" s="6" t="str">
        <f>'[1]V, inciso p) (OP)'!D364</f>
        <v>DOPI-MUN-RM-IE-CI-067-2018</v>
      </c>
      <c r="E702" s="10">
        <f>'[1]V, inciso p) (OP)'!AD364</f>
        <v>43248</v>
      </c>
      <c r="F702" s="32" t="str">
        <f>'[1]V, inciso p) (OP)'!AL364</f>
        <v>Estructura con lonaria, rehabilitación de cancha de usos múltiples, peatonalización y obra complementaria en el Preescolar Jardín de Niños Juan de la Barrera, Av. Las Palmas, Colonia Héroes Nacionales, Clave: 14DJN1856K, y en el Preescolar Jardín de Niños Ovidio Decroly, Calle Rubén Darío, Colonia La Coronilla, Clave: 14DJN0430Z, municipio de Zapopan, Jalisco.</v>
      </c>
      <c r="G702" s="6" t="s">
        <v>63</v>
      </c>
      <c r="H702" s="25">
        <v>3589645.62</v>
      </c>
      <c r="I702" s="6" t="str">
        <f>'[1]V, inciso p) (OP)'!AS364</f>
        <v>Colonias Héroes Nacionales y La Coronilla</v>
      </c>
      <c r="J702" s="6" t="str">
        <f>'[1]V, inciso p) (OP)'!T364</f>
        <v>JOSÉ OMAR</v>
      </c>
      <c r="K702" s="6" t="str">
        <f>'[1]V, inciso p) (OP)'!U364</f>
        <v>FERNÁNDEZ</v>
      </c>
      <c r="L702" s="6" t="str">
        <f>'[1]V, inciso p) (OP)'!V364</f>
        <v>VÁZQUEZ</v>
      </c>
      <c r="M702" s="6" t="s">
        <v>3174</v>
      </c>
      <c r="N702" s="6" t="str">
        <f>'[1]V, inciso p) (OP)'!X364</f>
        <v>ECO0908115Z7</v>
      </c>
      <c r="O702" s="11">
        <f t="shared" si="20"/>
        <v>3589645.62</v>
      </c>
      <c r="P702" s="11">
        <v>2966858.86</v>
      </c>
      <c r="Q702" s="19" t="s">
        <v>1224</v>
      </c>
      <c r="R702" s="15">
        <f>O702/531</f>
        <v>6760.1612429378529</v>
      </c>
      <c r="S702" s="7" t="s">
        <v>41</v>
      </c>
      <c r="T702" s="12">
        <v>206</v>
      </c>
      <c r="U702" s="13" t="s">
        <v>42</v>
      </c>
      <c r="V702" s="43" t="s">
        <v>43</v>
      </c>
      <c r="W702" s="10">
        <f>'[1]V, inciso p) (OP)'!AM364</f>
        <v>43248</v>
      </c>
      <c r="X702" s="10">
        <f>'[1]V, inciso p) (OP)'!AN364</f>
        <v>43337</v>
      </c>
      <c r="Y702" s="7" t="s">
        <v>815</v>
      </c>
      <c r="Z702" s="7" t="s">
        <v>1223</v>
      </c>
      <c r="AA702" s="7" t="s">
        <v>463</v>
      </c>
      <c r="AB702" s="21" t="s">
        <v>2475</v>
      </c>
      <c r="AC702" s="6" t="s">
        <v>2438</v>
      </c>
      <c r="AD702" s="6"/>
    </row>
    <row r="703" spans="1:30" ht="69.95" customHeight="1">
      <c r="A703" s="16">
        <v>68</v>
      </c>
      <c r="B703" s="7">
        <v>2018</v>
      </c>
      <c r="C703" s="6" t="str">
        <f>'[1]V, inciso p) (OP)'!B365</f>
        <v>Licitación por Invitación Restringida</v>
      </c>
      <c r="D703" s="6" t="str">
        <f>'[1]V, inciso p) (OP)'!D365</f>
        <v>DOPI-MUN-RM-IE-CI-068-2018</v>
      </c>
      <c r="E703" s="10">
        <f>'[1]V, inciso p) (OP)'!AD365</f>
        <v>43248</v>
      </c>
      <c r="F703" s="32" t="str">
        <f>'[1]V, inciso p) (OP)'!AL365</f>
        <v>Estructura con lonaria, rehabilitación de cancha de usos múltiples, peatonalización y obra complementaria en la Escuela Nicolás Copérnico, Calle de Enero No. 135, Clave: 14EES0508F, y  en la Escuela Secundaria Mixta66, Calle Octava Oriente No. 421, Colonia Nuevo México, Clave: 14EES0067Z, municipio de Zapopan, Jalisco.</v>
      </c>
      <c r="G703" s="6" t="s">
        <v>63</v>
      </c>
      <c r="H703" s="25">
        <v>4787818.92</v>
      </c>
      <c r="I703" s="6" t="str">
        <f>'[1]V, inciso p) (OP)'!AS365</f>
        <v>Colonia Nuevo México</v>
      </c>
      <c r="J703" s="6" t="str">
        <f>'[1]V, inciso p) (OP)'!T365</f>
        <v>JOEL RICARDO</v>
      </c>
      <c r="K703" s="6" t="str">
        <f>'[1]V, inciso p) (OP)'!U365</f>
        <v>RINCÓN</v>
      </c>
      <c r="L703" s="6" t="str">
        <f>'[1]V, inciso p) (OP)'!V365</f>
        <v>SALIDO</v>
      </c>
      <c r="M703" s="6" t="s">
        <v>3257</v>
      </c>
      <c r="N703" s="6" t="str">
        <f>'[1]V, inciso p) (OP)'!X365</f>
        <v>DIP1509086G7</v>
      </c>
      <c r="O703" s="11">
        <f t="shared" si="20"/>
        <v>4787818.92</v>
      </c>
      <c r="P703" s="11">
        <f t="shared" si="21"/>
        <v>4787818.92</v>
      </c>
      <c r="Q703" s="19" t="s">
        <v>1225</v>
      </c>
      <c r="R703" s="15">
        <f>O703/924</f>
        <v>5181.6222077922075</v>
      </c>
      <c r="S703" s="7" t="s">
        <v>41</v>
      </c>
      <c r="T703" s="12">
        <v>2015</v>
      </c>
      <c r="U703" s="13" t="s">
        <v>42</v>
      </c>
      <c r="V703" s="7" t="s">
        <v>373</v>
      </c>
      <c r="W703" s="10">
        <f>'[1]V, inciso p) (OP)'!AM365</f>
        <v>43248</v>
      </c>
      <c r="X703" s="10">
        <f>'[1]V, inciso p) (OP)'!AN365</f>
        <v>43337</v>
      </c>
      <c r="Y703" s="7" t="s">
        <v>838</v>
      </c>
      <c r="Z703" s="7" t="s">
        <v>447</v>
      </c>
      <c r="AA703" s="7" t="s">
        <v>448</v>
      </c>
      <c r="AB703" s="21" t="s">
        <v>2476</v>
      </c>
      <c r="AC703" s="6" t="s">
        <v>2438</v>
      </c>
      <c r="AD703" s="6"/>
    </row>
    <row r="704" spans="1:30" ht="69.95" customHeight="1">
      <c r="A704" s="16">
        <v>69</v>
      </c>
      <c r="B704" s="7">
        <v>2018</v>
      </c>
      <c r="C704" s="6" t="str">
        <f>'[1]V, inciso p) (OP)'!B366</f>
        <v>Licitación por Invitación Restringida</v>
      </c>
      <c r="D704" s="6" t="str">
        <f>'[1]V, inciso p) (OP)'!D366</f>
        <v>DOPI-MUN-RM-IE-CI-069-2018</v>
      </c>
      <c r="E704" s="10">
        <f>'[1]V, inciso p) (OP)'!AD366</f>
        <v>43248</v>
      </c>
      <c r="F704" s="32" t="str">
        <f>'[1]V, inciso p) (OP)'!AL366</f>
        <v>Estructura con lonaria, rehabilitación de cancha de usos múltiples, peatonalización y obra complementaria en la Escuela Primitivo Tolentino, Calle 5 de Mayo No. 35, Colonia El Briseño, Clave: 14EPR1300C, municipio de Zapopan, Jalisco.</v>
      </c>
      <c r="G704" s="6" t="s">
        <v>63</v>
      </c>
      <c r="H704" s="25">
        <v>2533967.48</v>
      </c>
      <c r="I704" s="6" t="str">
        <f>'[1]V, inciso p) (OP)'!AS366</f>
        <v>Colonia El Briseño</v>
      </c>
      <c r="J704" s="6" t="str">
        <f>'[1]V, inciso p) (OP)'!T366</f>
        <v>JOSÉ DE JESÚS</v>
      </c>
      <c r="K704" s="6" t="str">
        <f>'[1]V, inciso p) (OP)'!U366</f>
        <v>MARQUEZ</v>
      </c>
      <c r="L704" s="6" t="str">
        <f>'[1]V, inciso p) (OP)'!V366</f>
        <v>ÁVILA</v>
      </c>
      <c r="M704" s="6" t="s">
        <v>3088</v>
      </c>
      <c r="N704" s="6" t="str">
        <f>'[1]V, inciso p) (OP)'!X366</f>
        <v>FUT1110275V9</v>
      </c>
      <c r="O704" s="11">
        <f t="shared" si="20"/>
        <v>2533967.48</v>
      </c>
      <c r="P704" s="11">
        <v>2309429.62</v>
      </c>
      <c r="Q704" s="19" t="s">
        <v>1226</v>
      </c>
      <c r="R704" s="15">
        <f>O704/418</f>
        <v>6062.1231578947372</v>
      </c>
      <c r="S704" s="7" t="s">
        <v>41</v>
      </c>
      <c r="T704" s="12">
        <v>1122</v>
      </c>
      <c r="U704" s="13" t="s">
        <v>42</v>
      </c>
      <c r="V704" s="43" t="s">
        <v>43</v>
      </c>
      <c r="W704" s="10">
        <f>'[1]V, inciso p) (OP)'!AM366</f>
        <v>43248</v>
      </c>
      <c r="X704" s="10">
        <f>'[1]V, inciso p) (OP)'!AN366</f>
        <v>43337</v>
      </c>
      <c r="Y704" s="7" t="s">
        <v>859</v>
      </c>
      <c r="Z704" s="7" t="s">
        <v>860</v>
      </c>
      <c r="AA704" s="7" t="s">
        <v>861</v>
      </c>
      <c r="AB704" s="21" t="s">
        <v>2477</v>
      </c>
      <c r="AC704" s="6" t="s">
        <v>2438</v>
      </c>
      <c r="AD704" s="6"/>
    </row>
    <row r="705" spans="1:30" ht="69.95" customHeight="1">
      <c r="A705" s="16">
        <v>70</v>
      </c>
      <c r="B705" s="7">
        <v>2018</v>
      </c>
      <c r="C705" s="6" t="str">
        <f>'[1]V, inciso p) (OP)'!B367</f>
        <v>Licitación por Invitación Restringida</v>
      </c>
      <c r="D705" s="6" t="str">
        <f>'[1]V, inciso p) (OP)'!D367</f>
        <v>DOPI-MUN-R33-APDS-CI-070-2018</v>
      </c>
      <c r="E705" s="10">
        <f>'[1]V, inciso p) (OP)'!AD367</f>
        <v>43248</v>
      </c>
      <c r="F705" s="6" t="str">
        <f>'[1]V, inciso p) (OP)'!AL367</f>
        <v>Construcción de la tercera etapa de red de agua potable y drenaje en la colonia Lomas del Centinela II, municipio de Zapopan, Jalisco, frente 1.</v>
      </c>
      <c r="G705" s="6" t="s">
        <v>3334</v>
      </c>
      <c r="H705" s="25">
        <v>4147075.75</v>
      </c>
      <c r="I705" s="6" t="str">
        <f>'[1]V, inciso p) (OP)'!AS367</f>
        <v>Colonia Lomas del Centinela II</v>
      </c>
      <c r="J705" s="6" t="str">
        <f>'[1]V, inciso p) (OP)'!T367</f>
        <v xml:space="preserve"> BERNARDO </v>
      </c>
      <c r="K705" s="6" t="str">
        <f>'[1]V, inciso p) (OP)'!U367</f>
        <v xml:space="preserve">SAENZ </v>
      </c>
      <c r="L705" s="6" t="str">
        <f>'[1]V, inciso p) (OP)'!V367</f>
        <v>BARBA</v>
      </c>
      <c r="M705" s="6" t="s">
        <v>3154</v>
      </c>
      <c r="N705" s="6" t="str">
        <f>'[1]V, inciso p) (OP)'!X367</f>
        <v>GEM070112PX8</v>
      </c>
      <c r="O705" s="11">
        <f t="shared" si="20"/>
        <v>4147075.75</v>
      </c>
      <c r="P705" s="11">
        <v>4147075.74</v>
      </c>
      <c r="Q705" s="19" t="s">
        <v>1227</v>
      </c>
      <c r="R705" s="15">
        <f>O705/390</f>
        <v>10633.527564102564</v>
      </c>
      <c r="S705" s="7" t="s">
        <v>41</v>
      </c>
      <c r="T705" s="12">
        <v>291</v>
      </c>
      <c r="U705" s="13" t="s">
        <v>42</v>
      </c>
      <c r="V705" s="7" t="s">
        <v>43</v>
      </c>
      <c r="W705" s="10">
        <f>'[1]V, inciso p) (OP)'!AM367</f>
        <v>43248</v>
      </c>
      <c r="X705" s="10">
        <f>'[1]V, inciso p) (OP)'!AN367</f>
        <v>43352</v>
      </c>
      <c r="Y705" s="7" t="s">
        <v>753</v>
      </c>
      <c r="Z705" s="7" t="s">
        <v>827</v>
      </c>
      <c r="AA705" s="7" t="s">
        <v>755</v>
      </c>
      <c r="AB705" s="21" t="s">
        <v>2478</v>
      </c>
      <c r="AC705" s="6" t="s">
        <v>2438</v>
      </c>
      <c r="AD705" s="6"/>
    </row>
    <row r="706" spans="1:30" ht="69.95" customHeight="1">
      <c r="A706" s="16">
        <v>71</v>
      </c>
      <c r="B706" s="7">
        <v>2018</v>
      </c>
      <c r="C706" s="6" t="str">
        <f>'[1]V, inciso p) (OP)'!B368</f>
        <v>Licitación por Invitación Restringida</v>
      </c>
      <c r="D706" s="6" t="str">
        <f>'[1]V, inciso p) (OP)'!D368</f>
        <v>DOPI-MUN-R33-APDS-CI-071-2018</v>
      </c>
      <c r="E706" s="10">
        <f>'[1]V, inciso p) (OP)'!AD368</f>
        <v>43248</v>
      </c>
      <c r="F706" s="6" t="str">
        <f>'[1]V, inciso p) (OP)'!AL368</f>
        <v>Construcción de la tercera etapa de red de agua potable y drenaje en la colonia Lomas del Centinela II, municipio de Zapopan, Jalisco, frente 2.</v>
      </c>
      <c r="G706" s="6" t="s">
        <v>3334</v>
      </c>
      <c r="H706" s="25">
        <v>3953019.1500000004</v>
      </c>
      <c r="I706" s="6" t="str">
        <f>'[1]V, inciso p) (OP)'!AS368</f>
        <v>Colonia Lomas del Centinela II</v>
      </c>
      <c r="J706" s="6" t="str">
        <f>'[1]V, inciso p) (OP)'!T368</f>
        <v>MARTÍN ALEJANDRO</v>
      </c>
      <c r="K706" s="6" t="str">
        <f>'[1]V, inciso p) (OP)'!U368</f>
        <v>DIEZ MARINA</v>
      </c>
      <c r="L706" s="6" t="str">
        <f>'[1]V, inciso p) (OP)'!V368</f>
        <v>INZUNZA</v>
      </c>
      <c r="M706" s="6" t="s">
        <v>3214</v>
      </c>
      <c r="N706" s="6" t="str">
        <f>'[1]V, inciso p) (OP)'!X368</f>
        <v>UNI1201115M6</v>
      </c>
      <c r="O706" s="11">
        <f t="shared" si="20"/>
        <v>3953019.1500000004</v>
      </c>
      <c r="P706" s="11">
        <v>3953019.15</v>
      </c>
      <c r="Q706" s="19" t="s">
        <v>1228</v>
      </c>
      <c r="R706" s="15">
        <f>O706/273</f>
        <v>14479.923626373627</v>
      </c>
      <c r="S706" s="7" t="s">
        <v>41</v>
      </c>
      <c r="T706" s="12">
        <v>291</v>
      </c>
      <c r="U706" s="13" t="s">
        <v>42</v>
      </c>
      <c r="V706" s="7" t="s">
        <v>43</v>
      </c>
      <c r="W706" s="10">
        <f>'[1]V, inciso p) (OP)'!AM368</f>
        <v>43248</v>
      </c>
      <c r="X706" s="10">
        <f>'[1]V, inciso p) (OP)'!AN368</f>
        <v>43352</v>
      </c>
      <c r="Y706" s="7" t="s">
        <v>753</v>
      </c>
      <c r="Z706" s="7" t="s">
        <v>827</v>
      </c>
      <c r="AA706" s="7" t="s">
        <v>755</v>
      </c>
      <c r="AB706" s="21" t="s">
        <v>2479</v>
      </c>
      <c r="AC706" s="6" t="s">
        <v>2438</v>
      </c>
      <c r="AD706" s="6"/>
    </row>
    <row r="707" spans="1:30" ht="69.95" customHeight="1">
      <c r="A707" s="16">
        <v>72</v>
      </c>
      <c r="B707" s="7">
        <v>2018</v>
      </c>
      <c r="C707" s="6" t="str">
        <f>'[1]V, inciso p) (OP)'!B369</f>
        <v>Licitación por Invitación Restringida</v>
      </c>
      <c r="D707" s="6" t="str">
        <f>'[1]V, inciso p) (OP)'!D369</f>
        <v>DOPI-MUN-R33-PAV-CI-072-2018</v>
      </c>
      <c r="E707" s="10">
        <f>'[1]V, inciso p) (OP)'!AD369</f>
        <v>43248</v>
      </c>
      <c r="F707" s="6" t="str">
        <f>'[1]V, inciso p) (OP)'!AL369</f>
        <v>Pavimentación con concreto hidráulico en la colonia El Zapote II, segunda etapa, municipio de Zapopan, Jalisco.</v>
      </c>
      <c r="G707" s="6" t="s">
        <v>3334</v>
      </c>
      <c r="H707" s="25">
        <v>3526999.86</v>
      </c>
      <c r="I707" s="6" t="str">
        <f>'[1]V, inciso p) (OP)'!AS369</f>
        <v>Colonia El Zapote II</v>
      </c>
      <c r="J707" s="6" t="str">
        <f>'[1]V, inciso p) (OP)'!T369</f>
        <v>PAOLA ALEJANDRA</v>
      </c>
      <c r="K707" s="6" t="str">
        <f>'[1]V, inciso p) (OP)'!U369</f>
        <v>DIAZ</v>
      </c>
      <c r="L707" s="6" t="str">
        <f>'[1]V, inciso p) (OP)'!V369</f>
        <v>RUIZ</v>
      </c>
      <c r="M707" s="6" t="s">
        <v>2133</v>
      </c>
      <c r="N707" s="6" t="str">
        <f>'[1]V, inciso p) (OP)'!X369</f>
        <v>OCA080707FG8</v>
      </c>
      <c r="O707" s="11">
        <f t="shared" si="20"/>
        <v>3526999.86</v>
      </c>
      <c r="P707" s="11">
        <v>3526999.88</v>
      </c>
      <c r="Q707" s="19" t="s">
        <v>1229</v>
      </c>
      <c r="R707" s="15">
        <f>O707/1820</f>
        <v>1937.9120109890109</v>
      </c>
      <c r="S707" s="7" t="s">
        <v>41</v>
      </c>
      <c r="T707" s="12">
        <v>699</v>
      </c>
      <c r="U707" s="13" t="s">
        <v>42</v>
      </c>
      <c r="V707" s="7" t="s">
        <v>43</v>
      </c>
      <c r="W707" s="10">
        <f>'[1]V, inciso p) (OP)'!AM369</f>
        <v>43248</v>
      </c>
      <c r="X707" s="10">
        <f>'[1]V, inciso p) (OP)'!AN369</f>
        <v>43347</v>
      </c>
      <c r="Y707" s="7" t="s">
        <v>815</v>
      </c>
      <c r="Z707" s="7" t="s">
        <v>1223</v>
      </c>
      <c r="AA707" s="7" t="s">
        <v>463</v>
      </c>
      <c r="AB707" s="21" t="s">
        <v>2480</v>
      </c>
      <c r="AC707" s="6" t="s">
        <v>2438</v>
      </c>
      <c r="AD707" s="6"/>
    </row>
    <row r="708" spans="1:30" ht="69.95" customHeight="1">
      <c r="A708" s="16">
        <v>74</v>
      </c>
      <c r="B708" s="7">
        <v>2018</v>
      </c>
      <c r="C708" s="6" t="str">
        <f>'[1]V, inciso p) (OP)'!B370</f>
        <v>Licitación por Invitación Restringida</v>
      </c>
      <c r="D708" s="6" t="str">
        <f>'[1]V, inciso p) (OP)'!D370</f>
        <v>DOPI-MUN-R33-PAV-CI-074-2018</v>
      </c>
      <c r="E708" s="10">
        <f>'[1]V, inciso p) (OP)'!AD370</f>
        <v>43248</v>
      </c>
      <c r="F708" s="6" t="str">
        <f>'[1]V, inciso p) (OP)'!AL370</f>
        <v>Pavimentación con concreto hidráulico en la colonia Palmira (calle Miguel Alemán de Av. Palmira a calle Fresno), municipio de Zapopan, Jalisco, frente 1.</v>
      </c>
      <c r="G708" s="6" t="s">
        <v>3334</v>
      </c>
      <c r="H708" s="25">
        <v>2862961.14</v>
      </c>
      <c r="I708" s="6" t="str">
        <f>'[1]V, inciso p) (OP)'!AS370</f>
        <v>Colonia Palmira</v>
      </c>
      <c r="J708" s="6" t="str">
        <f>'[1]V, inciso p) (OP)'!T370</f>
        <v>ALEX</v>
      </c>
      <c r="K708" s="6" t="str">
        <f>'[1]V, inciso p) (OP)'!U370</f>
        <v>MEDINA</v>
      </c>
      <c r="L708" s="6" t="str">
        <f>'[1]V, inciso p) (OP)'!V370</f>
        <v>GÓMEZ</v>
      </c>
      <c r="M708" s="6" t="s">
        <v>3207</v>
      </c>
      <c r="N708" s="6" t="str">
        <f>'[1]V, inciso p) (OP)'!X370</f>
        <v>MCO150527NY3</v>
      </c>
      <c r="O708" s="11">
        <f t="shared" si="20"/>
        <v>2862961.14</v>
      </c>
      <c r="P708" s="11">
        <v>2306003.7200000002</v>
      </c>
      <c r="Q708" s="19" t="s">
        <v>1230</v>
      </c>
      <c r="R708" s="15">
        <f>O708/1635</f>
        <v>1751.0465688073396</v>
      </c>
      <c r="S708" s="7" t="s">
        <v>41</v>
      </c>
      <c r="T708" s="12">
        <v>876</v>
      </c>
      <c r="U708" s="13" t="s">
        <v>42</v>
      </c>
      <c r="V708" s="7" t="s">
        <v>43</v>
      </c>
      <c r="W708" s="10">
        <f>'[1]V, inciso p) (OP)'!AM370</f>
        <v>43248</v>
      </c>
      <c r="X708" s="10">
        <f>'[1]V, inciso p) (OP)'!AN370</f>
        <v>43337</v>
      </c>
      <c r="Y708" s="7" t="s">
        <v>722</v>
      </c>
      <c r="Z708" s="7" t="s">
        <v>231</v>
      </c>
      <c r="AA708" s="7" t="s">
        <v>143</v>
      </c>
      <c r="AB708" s="21" t="s">
        <v>2481</v>
      </c>
      <c r="AC708" s="6" t="s">
        <v>2438</v>
      </c>
      <c r="AD708" s="6"/>
    </row>
    <row r="709" spans="1:30" ht="69.95" customHeight="1">
      <c r="A709" s="16">
        <v>75</v>
      </c>
      <c r="B709" s="7">
        <v>2018</v>
      </c>
      <c r="C709" s="6" t="str">
        <f>'[1]V, inciso p) (OP)'!B371</f>
        <v>Licitación por Invitación Restringida</v>
      </c>
      <c r="D709" s="6" t="str">
        <f>'[1]V, inciso p) (OP)'!D371</f>
        <v>DOPI-MUN-R33-PAV-CI-075-2018</v>
      </c>
      <c r="E709" s="10">
        <f>'[1]V, inciso p) (OP)'!AD371</f>
        <v>43248</v>
      </c>
      <c r="F709" s="6" t="str">
        <f>'[1]V, inciso p) (OP)'!AL371</f>
        <v>Pavimentación con concreto hidráulico en la colonia Palmira (calle Miguel Alemán de Av. Palmira a calle Fresno), municipio de Zapopan, Jalisco, frente 2.</v>
      </c>
      <c r="G709" s="6" t="s">
        <v>3334</v>
      </c>
      <c r="H709" s="25">
        <v>2637972.83</v>
      </c>
      <c r="I709" s="6" t="str">
        <f>'[1]V, inciso p) (OP)'!AS371</f>
        <v>Colonia Palmira</v>
      </c>
      <c r="J709" s="6" t="str">
        <f>'[1]V, inciso p) (OP)'!T371</f>
        <v>HAYDEE LILIANA</v>
      </c>
      <c r="K709" s="6" t="str">
        <f>'[1]V, inciso p) (OP)'!U371</f>
        <v>AGUILAR</v>
      </c>
      <c r="L709" s="6" t="str">
        <f>'[1]V, inciso p) (OP)'!V371</f>
        <v>CASSIAN</v>
      </c>
      <c r="M709" s="6" t="s">
        <v>1690</v>
      </c>
      <c r="N709" s="6" t="str">
        <f>'[1]V, inciso p) (OP)'!X371</f>
        <v>EDM970225I68</v>
      </c>
      <c r="O709" s="11">
        <f t="shared" si="20"/>
        <v>2637972.83</v>
      </c>
      <c r="P709" s="11">
        <v>2123568.13</v>
      </c>
      <c r="Q709" s="19" t="s">
        <v>1231</v>
      </c>
      <c r="R709" s="15">
        <f>O709/1367</f>
        <v>1929.7533504023409</v>
      </c>
      <c r="S709" s="7" t="s">
        <v>41</v>
      </c>
      <c r="T709" s="12">
        <v>876</v>
      </c>
      <c r="U709" s="13" t="s">
        <v>42</v>
      </c>
      <c r="V709" s="7" t="s">
        <v>43</v>
      </c>
      <c r="W709" s="10">
        <f>'[1]V, inciso p) (OP)'!AM371</f>
        <v>43248</v>
      </c>
      <c r="X709" s="10">
        <f>'[1]V, inciso p) (OP)'!AN371</f>
        <v>43337</v>
      </c>
      <c r="Y709" s="7" t="s">
        <v>722</v>
      </c>
      <c r="Z709" s="7" t="s">
        <v>231</v>
      </c>
      <c r="AA709" s="7" t="s">
        <v>143</v>
      </c>
      <c r="AB709" s="21" t="s">
        <v>2482</v>
      </c>
      <c r="AC709" s="6" t="s">
        <v>2438</v>
      </c>
      <c r="AD709" s="6"/>
    </row>
    <row r="710" spans="1:30" ht="69.95" customHeight="1">
      <c r="A710" s="16">
        <v>76</v>
      </c>
      <c r="B710" s="7">
        <v>2018</v>
      </c>
      <c r="C710" s="6" t="str">
        <f>'[1]V, inciso p) (OP)'!B372</f>
        <v>Licitación por Invitación Restringida</v>
      </c>
      <c r="D710" s="6" t="str">
        <f>'[1]V, inciso p) (OP)'!D372</f>
        <v>DOPI-MUN-R33-APDS-CI-076-2018</v>
      </c>
      <c r="E710" s="10">
        <f>'[1]V, inciso p) (OP)'!AD372</f>
        <v>43248</v>
      </c>
      <c r="F710" s="6" t="str">
        <f>'[1]V, inciso p) (OP)'!AL372</f>
        <v>Construcción de colector pluvial y sustitución de redes de agua potable y drenaje sanitario, en la colonia La Magdalena (calle Bugambilias de Tulipán a Hidalgo), municipio de Zapopan, Jalisco.</v>
      </c>
      <c r="G710" s="6" t="s">
        <v>3334</v>
      </c>
      <c r="H710" s="25">
        <v>3153474.35</v>
      </c>
      <c r="I710" s="6" t="str">
        <f>'[1]V, inciso p) (OP)'!AS372</f>
        <v>Colonia La Magdalena</v>
      </c>
      <c r="J710" s="6" t="str">
        <f>'[1]V, inciso p) (OP)'!T372</f>
        <v>ANA KARINA</v>
      </c>
      <c r="K710" s="6" t="str">
        <f>'[1]V, inciso p) (OP)'!U372</f>
        <v>OJEDA</v>
      </c>
      <c r="L710" s="6" t="str">
        <f>'[1]V, inciso p) (OP)'!V372</f>
        <v>FERRELL</v>
      </c>
      <c r="M710" s="6" t="s">
        <v>3189</v>
      </c>
      <c r="N710" s="6" t="str">
        <f>'[1]V, inciso p) (OP)'!X372</f>
        <v>KCI120928CD5</v>
      </c>
      <c r="O710" s="11">
        <f t="shared" si="20"/>
        <v>3153474.35</v>
      </c>
      <c r="P710" s="11">
        <v>1574698.06</v>
      </c>
      <c r="Q710" s="19" t="s">
        <v>1232</v>
      </c>
      <c r="R710" s="15">
        <f>O710/320</f>
        <v>9854.6073437499999</v>
      </c>
      <c r="S710" s="7" t="s">
        <v>41</v>
      </c>
      <c r="T710" s="12">
        <v>301</v>
      </c>
      <c r="U710" s="13" t="s">
        <v>42</v>
      </c>
      <c r="V710" s="7" t="s">
        <v>43</v>
      </c>
      <c r="W710" s="10">
        <f>'[1]V, inciso p) (OP)'!AM372</f>
        <v>43248</v>
      </c>
      <c r="X710" s="10">
        <f>'[1]V, inciso p) (OP)'!AN372</f>
        <v>43317</v>
      </c>
      <c r="Y710" s="7" t="s">
        <v>815</v>
      </c>
      <c r="Z710" s="7" t="s">
        <v>1223</v>
      </c>
      <c r="AA710" s="7" t="s">
        <v>463</v>
      </c>
      <c r="AB710" s="21" t="s">
        <v>2483</v>
      </c>
      <c r="AC710" s="6" t="s">
        <v>2438</v>
      </c>
      <c r="AD710" s="6"/>
    </row>
    <row r="711" spans="1:30" ht="69.95" customHeight="1">
      <c r="A711" s="16">
        <v>77</v>
      </c>
      <c r="B711" s="7">
        <v>2018</v>
      </c>
      <c r="C711" s="6" t="str">
        <f>'[1]V, inciso p) (OP)'!B373</f>
        <v>Licitación por Invitación Restringida</v>
      </c>
      <c r="D711" s="6" t="str">
        <f>'[1]V, inciso p) (OP)'!D373</f>
        <v>DOPI-MUN-R33-PAV-CI-077-2018</v>
      </c>
      <c r="E711" s="10">
        <f>'[1]V, inciso p) (OP)'!AD373</f>
        <v>43248</v>
      </c>
      <c r="F711" s="6" t="str">
        <f>'[1]V, inciso p) (OP)'!AL373</f>
        <v>Pavimentación con concreto hidráulico en la colonia La Magdalena (calle Bugambilias de Tulipán a Hidalgo), municipio de Zapopan, Jalisco, frente 1.</v>
      </c>
      <c r="G711" s="6" t="s">
        <v>3334</v>
      </c>
      <c r="H711" s="25">
        <v>3093567.18</v>
      </c>
      <c r="I711" s="6" t="str">
        <f>'[1]V, inciso p) (OP)'!AS373</f>
        <v>Colonia La Magdalena</v>
      </c>
      <c r="J711" s="6" t="str">
        <f>'[1]V, inciso p) (OP)'!T373</f>
        <v>MARIO</v>
      </c>
      <c r="K711" s="6" t="str">
        <f>'[1]V, inciso p) (OP)'!U373</f>
        <v>BELTRÁN</v>
      </c>
      <c r="L711" s="6" t="str">
        <f>'[1]V, inciso p) (OP)'!V373</f>
        <v>RODRÍGUEZ Y SUSARREY</v>
      </c>
      <c r="M711" s="6" t="s">
        <v>3176</v>
      </c>
      <c r="N711" s="6" t="str">
        <f>'[1]V, inciso p) (OP)'!X373</f>
        <v>CDB0506068Z4</v>
      </c>
      <c r="O711" s="11">
        <f t="shared" si="20"/>
        <v>3093567.18</v>
      </c>
      <c r="P711" s="11">
        <v>1279204.6000000001</v>
      </c>
      <c r="Q711" s="19" t="s">
        <v>428</v>
      </c>
      <c r="R711" s="15">
        <f>O711/1240</f>
        <v>2494.8122419354841</v>
      </c>
      <c r="S711" s="7" t="s">
        <v>41</v>
      </c>
      <c r="T711" s="12">
        <v>301</v>
      </c>
      <c r="U711" s="13" t="s">
        <v>42</v>
      </c>
      <c r="V711" s="7" t="s">
        <v>43</v>
      </c>
      <c r="W711" s="10">
        <f>'[1]V, inciso p) (OP)'!AM373</f>
        <v>43248</v>
      </c>
      <c r="X711" s="10">
        <f>'[1]V, inciso p) (OP)'!AN373</f>
        <v>43347</v>
      </c>
      <c r="Y711" s="7" t="s">
        <v>815</v>
      </c>
      <c r="Z711" s="7" t="s">
        <v>1223</v>
      </c>
      <c r="AA711" s="7" t="s">
        <v>463</v>
      </c>
      <c r="AB711" s="21" t="s">
        <v>2484</v>
      </c>
      <c r="AC711" s="6" t="s">
        <v>2438</v>
      </c>
      <c r="AD711" s="6"/>
    </row>
    <row r="712" spans="1:30" ht="69.95" customHeight="1">
      <c r="A712" s="16">
        <v>78</v>
      </c>
      <c r="B712" s="7">
        <v>2018</v>
      </c>
      <c r="C712" s="6" t="str">
        <f>'[1]V, inciso p) (OP)'!B374</f>
        <v>Licitación por Invitación Restringida</v>
      </c>
      <c r="D712" s="6" t="str">
        <f>'[1]V, inciso p) (OP)'!D374</f>
        <v>DOPI-MUN-R33-PAV-CI-078-2018</v>
      </c>
      <c r="E712" s="10">
        <f>'[1]V, inciso p) (OP)'!AD374</f>
        <v>43248</v>
      </c>
      <c r="F712" s="6" t="str">
        <f>'[1]V, inciso p) (OP)'!AL374</f>
        <v>Pavimentación con concreto hidráulico en la colonia La Magdalena (calle Bugambilias de Tulipán a Hidalgo), municipio de Zapopan, Jalisco, frente 2.</v>
      </c>
      <c r="G712" s="6" t="s">
        <v>3334</v>
      </c>
      <c r="H712" s="25">
        <v>3023327.58</v>
      </c>
      <c r="I712" s="6" t="str">
        <f>'[1]V, inciso p) (OP)'!AS374</f>
        <v>Colonia La Magdalena</v>
      </c>
      <c r="J712" s="6" t="str">
        <f>'[1]V, inciso p) (OP)'!T374</f>
        <v>DANIEL</v>
      </c>
      <c r="K712" s="6" t="str">
        <f>'[1]V, inciso p) (OP)'!U374</f>
        <v>PARRA</v>
      </c>
      <c r="L712" s="6" t="str">
        <f>'[1]V, inciso p) (OP)'!V374</f>
        <v>RIVERA</v>
      </c>
      <c r="M712" s="6" t="s">
        <v>3258</v>
      </c>
      <c r="N712" s="6" t="str">
        <f>'[1]V, inciso p) (OP)'!X374</f>
        <v>CON970514LY1</v>
      </c>
      <c r="O712" s="11">
        <f t="shared" si="20"/>
        <v>3023327.58</v>
      </c>
      <c r="P712" s="11">
        <v>2071084.35</v>
      </c>
      <c r="Q712" s="19" t="s">
        <v>428</v>
      </c>
      <c r="R712" s="15">
        <f>O712/1240</f>
        <v>2438.1674032258065</v>
      </c>
      <c r="S712" s="7" t="s">
        <v>41</v>
      </c>
      <c r="T712" s="12">
        <v>301</v>
      </c>
      <c r="U712" s="13" t="s">
        <v>42</v>
      </c>
      <c r="V712" s="7" t="s">
        <v>373</v>
      </c>
      <c r="W712" s="10">
        <f>'[1]V, inciso p) (OP)'!AM374</f>
        <v>43248</v>
      </c>
      <c r="X712" s="10">
        <f>'[1]V, inciso p) (OP)'!AN374</f>
        <v>43347</v>
      </c>
      <c r="Y712" s="7" t="s">
        <v>815</v>
      </c>
      <c r="Z712" s="7" t="s">
        <v>1223</v>
      </c>
      <c r="AA712" s="7" t="s">
        <v>463</v>
      </c>
      <c r="AB712" s="21" t="s">
        <v>2485</v>
      </c>
      <c r="AC712" s="6" t="s">
        <v>2438</v>
      </c>
      <c r="AD712" s="6"/>
    </row>
    <row r="713" spans="1:30" ht="69.95" customHeight="1">
      <c r="A713" s="16">
        <v>79</v>
      </c>
      <c r="B713" s="7">
        <v>2018</v>
      </c>
      <c r="C713" s="6" t="str">
        <f>'[1]V, inciso p) (OP)'!B375</f>
        <v>Licitación por Invitación Restringida</v>
      </c>
      <c r="D713" s="6" t="str">
        <f>'[1]V, inciso p) (OP)'!D375</f>
        <v>DOPI-MUN-FORTA-ID-CI-079-2018</v>
      </c>
      <c r="E713" s="10">
        <f>'[1]V, inciso p) (OP)'!AD375</f>
        <v>43248</v>
      </c>
      <c r="F713" s="6" t="str">
        <f>'[1]V, inciso p) (OP)'!AL375</f>
        <v>Construcción de ingreso principal, estructura con lonaria, rehabilitación de canchas de usos múltiples, andadores y alumbrado en el Parque de la Estrella, ubicado en la colonia Arcos de Zapopan, municipio de Zapopan, Jalisco.</v>
      </c>
      <c r="G713" s="6" t="s">
        <v>3340</v>
      </c>
      <c r="H713" s="25">
        <v>6995751.1699999999</v>
      </c>
      <c r="I713" s="6" t="str">
        <f>'[1]V, inciso p) (OP)'!AS375</f>
        <v>Colonia Arcos de Zapopan</v>
      </c>
      <c r="J713" s="6" t="str">
        <f>'[1]V, inciso p) (OP)'!T375</f>
        <v>JAIME FERNANDO</v>
      </c>
      <c r="K713" s="6" t="str">
        <f>'[1]V, inciso p) (OP)'!U375</f>
        <v>ÁLVAREZ</v>
      </c>
      <c r="L713" s="6" t="str">
        <f>'[1]V, inciso p) (OP)'!V375</f>
        <v>LOZANO</v>
      </c>
      <c r="M713" s="6" t="s">
        <v>1858</v>
      </c>
      <c r="N713" s="6" t="str">
        <f>'[1]V, inciso p) (OP)'!X375</f>
        <v>IMU120820NM7</v>
      </c>
      <c r="O713" s="11">
        <f t="shared" si="20"/>
        <v>6995751.1699999999</v>
      </c>
      <c r="P713" s="11">
        <v>6995751.1699999999</v>
      </c>
      <c r="Q713" s="19" t="s">
        <v>1233</v>
      </c>
      <c r="R713" s="15">
        <f>O713/900</f>
        <v>7773.0568555555556</v>
      </c>
      <c r="S713" s="7" t="s">
        <v>41</v>
      </c>
      <c r="T713" s="12">
        <v>3122</v>
      </c>
      <c r="U713" s="13" t="s">
        <v>42</v>
      </c>
      <c r="V713" s="7" t="s">
        <v>43</v>
      </c>
      <c r="W713" s="10">
        <f>'[1]V, inciso p) (OP)'!AM375</f>
        <v>43248</v>
      </c>
      <c r="X713" s="10">
        <f>'[1]V, inciso p) (OP)'!AN375</f>
        <v>43337</v>
      </c>
      <c r="Y713" s="7" t="s">
        <v>429</v>
      </c>
      <c r="Z713" s="7" t="s">
        <v>72</v>
      </c>
      <c r="AA713" s="7" t="s">
        <v>557</v>
      </c>
      <c r="AB713" s="21" t="s">
        <v>2486</v>
      </c>
      <c r="AC713" s="6" t="s">
        <v>2438</v>
      </c>
      <c r="AD713" s="6"/>
    </row>
    <row r="714" spans="1:30" ht="69.95" customHeight="1">
      <c r="A714" s="16">
        <v>80</v>
      </c>
      <c r="B714" s="7">
        <v>2018</v>
      </c>
      <c r="C714" s="6" t="str">
        <f>'[1]V, inciso p) (OP)'!B376</f>
        <v>Licitación por Invitación Restringida</v>
      </c>
      <c r="D714" s="6" t="str">
        <f>'[1]V, inciso p) (OP)'!D376</f>
        <v>DOPI-MUN-FORTA-ID-CI-080-2018</v>
      </c>
      <c r="E714" s="10">
        <f>'[1]V, inciso p) (OP)'!AD376</f>
        <v>43248</v>
      </c>
      <c r="F714" s="6" t="str">
        <f>'[1]V, inciso p) (OP)'!AL376</f>
        <v>Unidad Deportiva Tecolandia (rehabilitación de cancha de pasto sintético, construcción de cancha de futbol 7, cercado perimetral y construcción de barda, reparación de banquetas), municipio de Zapopan, Jalisco.</v>
      </c>
      <c r="G714" s="6" t="s">
        <v>3340</v>
      </c>
      <c r="H714" s="25">
        <v>7790298.79</v>
      </c>
      <c r="I714" s="6" t="str">
        <f>'[1]V, inciso p) (OP)'!AS376</f>
        <v>Colonia Real del Parque</v>
      </c>
      <c r="J714" s="6" t="str">
        <f>'[1]V, inciso p) (OP)'!T376</f>
        <v>HÉCTOR MAURICIO</v>
      </c>
      <c r="K714" s="6" t="str">
        <f>'[1]V, inciso p) (OP)'!U376</f>
        <v>GRAMILLO</v>
      </c>
      <c r="L714" s="6" t="str">
        <f>'[1]V, inciso p) (OP)'!V376</f>
        <v>GONZÁLEZ</v>
      </c>
      <c r="M714" s="6" t="s">
        <v>1953</v>
      </c>
      <c r="N714" s="6" t="str">
        <f>'[1]V, inciso p) (OP)'!X376</f>
        <v>DED100816GB1</v>
      </c>
      <c r="O714" s="11">
        <f t="shared" si="20"/>
        <v>7790298.79</v>
      </c>
      <c r="P714" s="11">
        <v>7790298.7899999991</v>
      </c>
      <c r="Q714" s="19" t="s">
        <v>1234</v>
      </c>
      <c r="R714" s="15">
        <f>O714/3400</f>
        <v>2291.2643499999999</v>
      </c>
      <c r="S714" s="7" t="s">
        <v>41</v>
      </c>
      <c r="T714" s="12">
        <v>4069</v>
      </c>
      <c r="U714" s="13" t="s">
        <v>42</v>
      </c>
      <c r="V714" s="7" t="s">
        <v>43</v>
      </c>
      <c r="W714" s="10">
        <f>'[1]V, inciso p) (OP)'!AM376</f>
        <v>43248</v>
      </c>
      <c r="X714" s="10">
        <f>'[1]V, inciso p) (OP)'!AN376</f>
        <v>43353</v>
      </c>
      <c r="Y714" s="7" t="s">
        <v>859</v>
      </c>
      <c r="Z714" s="7" t="s">
        <v>860</v>
      </c>
      <c r="AA714" s="7" t="s">
        <v>861</v>
      </c>
      <c r="AB714" s="21" t="s">
        <v>2487</v>
      </c>
      <c r="AC714" s="6" t="s">
        <v>2438</v>
      </c>
      <c r="AD714" s="6"/>
    </row>
    <row r="715" spans="1:30" ht="69.95" customHeight="1">
      <c r="A715" s="16">
        <v>81</v>
      </c>
      <c r="B715" s="7">
        <v>2018</v>
      </c>
      <c r="C715" s="6" t="str">
        <f>'[1]V, inciso p) (OP)'!B377</f>
        <v>Licitación por Invitación Restringida</v>
      </c>
      <c r="D715" s="6" t="str">
        <f>'[1]V, inciso p) (OP)'!D377</f>
        <v>DOPI-MUN-FORTA-ID-CI-081-2018</v>
      </c>
      <c r="E715" s="10">
        <f>'[1]V, inciso p) (OP)'!AD377</f>
        <v>43248</v>
      </c>
      <c r="F715" s="6" t="str">
        <f>'[1]V, inciso p) (OP)'!AL377</f>
        <v>Unidad Deportiva Tecolandia (rehabilitación de 6 canchas de usos múltiples, techado de cancha de usos múltiples y construcción de centro de usos múltiples en la planta alta), municipio de Zapopan, Jalisco.</v>
      </c>
      <c r="G715" s="6" t="s">
        <v>3340</v>
      </c>
      <c r="H715" s="25">
        <v>7150930.79</v>
      </c>
      <c r="I715" s="6" t="str">
        <f>'[1]V, inciso p) (OP)'!AS377</f>
        <v>Colonia Real del Parque</v>
      </c>
      <c r="J715" s="6" t="str">
        <f>'[1]V, inciso p) (OP)'!T377</f>
        <v>LUIS ARMANDO</v>
      </c>
      <c r="K715" s="6" t="str">
        <f>'[1]V, inciso p) (OP)'!U377</f>
        <v>LINARES</v>
      </c>
      <c r="L715" s="6" t="str">
        <f>'[1]V, inciso p) (OP)'!V377</f>
        <v>CACHO</v>
      </c>
      <c r="M715" s="6" t="s">
        <v>3259</v>
      </c>
      <c r="N715" s="6" t="str">
        <f>'[1]V, inciso p) (OP)'!X377</f>
        <v>ECA170620KA6</v>
      </c>
      <c r="O715" s="11">
        <f t="shared" si="20"/>
        <v>7150930.79</v>
      </c>
      <c r="P715" s="11">
        <v>7150930.7999999998</v>
      </c>
      <c r="Q715" s="19" t="s">
        <v>1235</v>
      </c>
      <c r="R715" s="15">
        <f>O715/990</f>
        <v>7223.162414141414</v>
      </c>
      <c r="S715" s="7" t="s">
        <v>41</v>
      </c>
      <c r="T715" s="12">
        <v>4069</v>
      </c>
      <c r="U715" s="13" t="s">
        <v>42</v>
      </c>
      <c r="V715" s="7" t="s">
        <v>43</v>
      </c>
      <c r="W715" s="10">
        <f>'[1]V, inciso p) (OP)'!AM377</f>
        <v>43248</v>
      </c>
      <c r="X715" s="10">
        <f>'[1]V, inciso p) (OP)'!AN377</f>
        <v>43353</v>
      </c>
      <c r="Y715" s="7" t="s">
        <v>859</v>
      </c>
      <c r="Z715" s="7" t="s">
        <v>860</v>
      </c>
      <c r="AA715" s="7" t="s">
        <v>861</v>
      </c>
      <c r="AB715" s="21" t="s">
        <v>2488</v>
      </c>
      <c r="AC715" s="6" t="s">
        <v>2438</v>
      </c>
      <c r="AD715" s="6"/>
    </row>
    <row r="716" spans="1:30" ht="69.95" customHeight="1">
      <c r="A716" s="16">
        <v>82</v>
      </c>
      <c r="B716" s="7">
        <v>2018</v>
      </c>
      <c r="C716" s="6" t="str">
        <f>'[1]V, inciso p) (OP)'!B378</f>
        <v>Licitación por Invitación Restringida</v>
      </c>
      <c r="D716" s="6" t="str">
        <f>'[1]V, inciso p) (OP)'!D378</f>
        <v>DOPI-MUN-FORTA-BAN-CI-082-2018</v>
      </c>
      <c r="E716" s="10">
        <f>'[1]V, inciso p) (OP)'!AD378</f>
        <v>43248</v>
      </c>
      <c r="F716" s="6" t="str">
        <f>'[1]V, inciso p) (OP)'!AL378</f>
        <v>Remozamiento de camellón en la intersección de Av. Vallarta y Calzada Lázaro Cárdenas, en el nodo víal Los Cubos, colonia Prados Vallarta, municipio de Zapopan, Jalisco.</v>
      </c>
      <c r="G716" s="6" t="s">
        <v>3340</v>
      </c>
      <c r="H716" s="25">
        <v>3604330.24</v>
      </c>
      <c r="I716" s="6" t="str">
        <f>'[1]V, inciso p) (OP)'!AS378</f>
        <v>Colonia Prados Vallarta</v>
      </c>
      <c r="J716" s="6" t="str">
        <f>'[1]V, inciso p) (OP)'!T378</f>
        <v>CLAUDIA NOEMI</v>
      </c>
      <c r="K716" s="6" t="str">
        <f>'[1]V, inciso p) (OP)'!U378</f>
        <v>GARCÍA</v>
      </c>
      <c r="L716" s="6" t="str">
        <f>'[1]V, inciso p) (OP)'!V378</f>
        <v>CASILLAS</v>
      </c>
      <c r="M716" s="6" t="s">
        <v>3260</v>
      </c>
      <c r="N716" s="6" t="str">
        <f>'[1]V, inciso p) (OP)'!X378</f>
        <v>PJU150305K8A</v>
      </c>
      <c r="O716" s="11">
        <f t="shared" si="20"/>
        <v>3604330.24</v>
      </c>
      <c r="P716" s="11">
        <v>3581081.5999999996</v>
      </c>
      <c r="Q716" s="19" t="s">
        <v>1236</v>
      </c>
      <c r="R716" s="15">
        <f>O716/27919</f>
        <v>129.09954654536338</v>
      </c>
      <c r="S716" s="7" t="s">
        <v>41</v>
      </c>
      <c r="T716" s="12">
        <v>1332272</v>
      </c>
      <c r="U716" s="13" t="s">
        <v>42</v>
      </c>
      <c r="V716" s="7" t="s">
        <v>43</v>
      </c>
      <c r="W716" s="10">
        <f>'[1]V, inciso p) (OP)'!AM378</f>
        <v>43248</v>
      </c>
      <c r="X716" s="10">
        <f>'[1]V, inciso p) (OP)'!AN378</f>
        <v>43337</v>
      </c>
      <c r="Y716" s="7" t="s">
        <v>552</v>
      </c>
      <c r="Z716" s="7" t="s">
        <v>1237</v>
      </c>
      <c r="AA716" s="7" t="s">
        <v>192</v>
      </c>
      <c r="AB716" s="21" t="s">
        <v>2489</v>
      </c>
      <c r="AC716" s="6" t="s">
        <v>2438</v>
      </c>
      <c r="AD716" s="6"/>
    </row>
    <row r="717" spans="1:30" ht="69.95" customHeight="1">
      <c r="A717" s="16">
        <v>83</v>
      </c>
      <c r="B717" s="7">
        <v>2018</v>
      </c>
      <c r="C717" s="6" t="str">
        <f>'[1]V, inciso p) (OP)'!B379</f>
        <v>Licitación por Invitación Restringida</v>
      </c>
      <c r="D717" s="6" t="str">
        <f>'[1]V, inciso p) (OP)'!D379</f>
        <v>DOPI-MUN-FORTA-IE-CI-083-2018</v>
      </c>
      <c r="E717" s="10">
        <f>'[1]V, inciso p) (OP)'!AD379</f>
        <v>43248</v>
      </c>
      <c r="F717" s="32" t="str">
        <f>'[1]V, inciso p) (OP)'!AL379</f>
        <v>Estructuras con lonaria, rehabilitación de cancha de usos múltiples, peatonalización y obra complementaria en la Escuela Primaria Urbana 1249 Antonio Gómez Robledo, ubicada en Marina Vallarta S/N, Colonia Residencial Santa Margarita, Clave: 14EPR1425K, y en la Escuela Primaria Elena Poniatowska Amor, ubicada en Valle De Atemajac, Col. Valle de Los Molinos, Clave: 14EPR1617Z municipio de Zapopan, Jalisco.</v>
      </c>
      <c r="G717" s="6" t="s">
        <v>3340</v>
      </c>
      <c r="H717" s="25">
        <v>2729400.56</v>
      </c>
      <c r="I717" s="6" t="str">
        <f>'[1]V, inciso p) (OP)'!AS379</f>
        <v>Colonias Resindencial Santa Margarita y Valle de los Molinos</v>
      </c>
      <c r="J717" s="6" t="str">
        <f>'[1]V, inciso p) (OP)'!T379</f>
        <v>DAVID</v>
      </c>
      <c r="K717" s="6" t="str">
        <f>'[1]V, inciso p) (OP)'!U379</f>
        <v>PENILLA</v>
      </c>
      <c r="L717" s="6" t="str">
        <f>'[1]V, inciso p) (OP)'!V379</f>
        <v>GONZÁLEZ</v>
      </c>
      <c r="M717" s="6" t="s">
        <v>3261</v>
      </c>
      <c r="N717" s="6" t="str">
        <f>'[1]V, inciso p) (OP)'!X379</f>
        <v>CCC050411DA3</v>
      </c>
      <c r="O717" s="11">
        <f t="shared" si="20"/>
        <v>2729400.56</v>
      </c>
      <c r="P717" s="11">
        <v>2549640.4000000004</v>
      </c>
      <c r="Q717" s="19" t="s">
        <v>1238</v>
      </c>
      <c r="R717" s="15">
        <f>O717/421</f>
        <v>6483.1367220902612</v>
      </c>
      <c r="S717" s="7" t="s">
        <v>41</v>
      </c>
      <c r="T717" s="12">
        <v>1036</v>
      </c>
      <c r="U717" s="13" t="s">
        <v>42</v>
      </c>
      <c r="V717" s="7" t="s">
        <v>43</v>
      </c>
      <c r="W717" s="10">
        <f>'[1]V, inciso p) (OP)'!AM379</f>
        <v>43248</v>
      </c>
      <c r="X717" s="10">
        <f>'[1]V, inciso p) (OP)'!AN379</f>
        <v>43337</v>
      </c>
      <c r="Y717" s="7" t="s">
        <v>838</v>
      </c>
      <c r="Z717" s="7" t="s">
        <v>447</v>
      </c>
      <c r="AA717" s="7" t="s">
        <v>448</v>
      </c>
      <c r="AB717" s="21" t="s">
        <v>2490</v>
      </c>
      <c r="AC717" s="6" t="s">
        <v>2438</v>
      </c>
      <c r="AD717" s="6"/>
    </row>
    <row r="718" spans="1:30" ht="69.95" customHeight="1">
      <c r="A718" s="16">
        <v>84</v>
      </c>
      <c r="B718" s="7">
        <v>2018</v>
      </c>
      <c r="C718" s="6" t="str">
        <f>'[1]V, inciso p) (OP)'!B380</f>
        <v>Licitación por Invitación Restringida</v>
      </c>
      <c r="D718" s="6" t="str">
        <f>'[1]V, inciso p) (OP)'!D380</f>
        <v>DOPI-MUN-FORTA-IE-CI-084-2018</v>
      </c>
      <c r="E718" s="10">
        <f>'[1]V, inciso p) (OP)'!AD380</f>
        <v>43248</v>
      </c>
      <c r="F718" s="32" t="str">
        <f>'[1]V, inciso p) (OP)'!AL380</f>
        <v>Estructuras con lonaria, rehabilitación de cancha de usos múltiples, peatonalización y obra complementaria en la Escuela Primaria José López Portillo y Rojas, ubicada en Calle Río Cihuatlán No.2763, Colonia Las Águilas, Clave: 14DPR2452P, y en la Escuela Primaria Federal Francisco I. Madero, ubicada en Av. Prolongación Gpe. No. 23, Colonia Arenales Tapatíos, Clave: 14DPR0083W, municipio de Zapopan, Jalisco.</v>
      </c>
      <c r="G718" s="6" t="s">
        <v>3340</v>
      </c>
      <c r="H718" s="25">
        <v>4080048.8</v>
      </c>
      <c r="I718" s="6" t="str">
        <f>'[1]V, inciso p) (OP)'!AS380</f>
        <v>Colonias Las Aguilas y Arenales Tapatios</v>
      </c>
      <c r="J718" s="6" t="str">
        <f>'[1]V, inciso p) (OP)'!T380</f>
        <v>MARIA NELBA</v>
      </c>
      <c r="K718" s="6" t="str">
        <f>'[1]V, inciso p) (OP)'!U380</f>
        <v xml:space="preserve">FONSECA </v>
      </c>
      <c r="L718" s="6" t="str">
        <f>'[1]V, inciso p) (OP)'!V380</f>
        <v>GUTIERREZ</v>
      </c>
      <c r="M718" s="6" t="s">
        <v>3262</v>
      </c>
      <c r="N718" s="6" t="str">
        <f>'[1]V, inciso p) (OP)'!X380</f>
        <v>FCP100909B70</v>
      </c>
      <c r="O718" s="11">
        <f t="shared" si="20"/>
        <v>4080048.8</v>
      </c>
      <c r="P718" s="11">
        <v>4080048.8</v>
      </c>
      <c r="Q718" s="19" t="s">
        <v>1239</v>
      </c>
      <c r="R718" s="15">
        <f>O718/970</f>
        <v>4206.2358762886597</v>
      </c>
      <c r="S718" s="7" t="s">
        <v>41</v>
      </c>
      <c r="T718" s="12">
        <v>2611</v>
      </c>
      <c r="U718" s="13" t="s">
        <v>42</v>
      </c>
      <c r="V718" s="7" t="s">
        <v>43</v>
      </c>
      <c r="W718" s="10">
        <f>'[1]V, inciso p) (OP)'!AM380</f>
        <v>43248</v>
      </c>
      <c r="X718" s="10">
        <f>'[1]V, inciso p) (OP)'!AN380</f>
        <v>43337</v>
      </c>
      <c r="Y718" s="7" t="s">
        <v>429</v>
      </c>
      <c r="Z718" s="7" t="s">
        <v>72</v>
      </c>
      <c r="AA718" s="7" t="s">
        <v>557</v>
      </c>
      <c r="AB718" s="21" t="s">
        <v>2491</v>
      </c>
      <c r="AC718" s="6" t="s">
        <v>2438</v>
      </c>
      <c r="AD718" s="6"/>
    </row>
    <row r="719" spans="1:30" ht="69.95" customHeight="1">
      <c r="A719" s="16">
        <v>85</v>
      </c>
      <c r="B719" s="7">
        <v>2018</v>
      </c>
      <c r="C719" s="6" t="str">
        <f>'[1]V, inciso p) (OP)'!B381</f>
        <v>Licitación por Invitación Restringida</v>
      </c>
      <c r="D719" s="6" t="str">
        <f>'[1]V, inciso p) (OP)'!D381</f>
        <v>DOPI-MUN-FORTA-IE-CI-085-2018</v>
      </c>
      <c r="E719" s="10">
        <f>'[1]V, inciso p) (OP)'!AD381</f>
        <v>43248</v>
      </c>
      <c r="F719" s="32" t="str">
        <f>'[1]V, inciso p) (OP)'!AL381</f>
        <v>Estructuras con lonaria, rehabilitación de cancha de usos múltiples, peatonalización y obra complementaria en la Escuela Primaria Pensador Mexicano, ubicada en la Calle San Miguel No. 2005, Colonia La Palmira, Clave: 14DPR4072U, y en la Escuela Primaria Urbana 1248, Benemérito de las Américas, ubicada en la Calle Palmas, Colonia El Fresno, Clave: 14DPR1283C municipio de Zapopan, Jalisco.</v>
      </c>
      <c r="G719" s="6" t="s">
        <v>3340</v>
      </c>
      <c r="H719" s="25">
        <v>4990994.08</v>
      </c>
      <c r="I719" s="6" t="str">
        <f>'[1]V, inciso p) (OP)'!AS381</f>
        <v>Colonias La Palmira y El Fresno</v>
      </c>
      <c r="J719" s="6" t="str">
        <f>'[1]V, inciso p) (OP)'!T381</f>
        <v>CLARISSA GABRIELA</v>
      </c>
      <c r="K719" s="6" t="str">
        <f>'[1]V, inciso p) (OP)'!U381</f>
        <v>VALDEZ</v>
      </c>
      <c r="L719" s="6" t="str">
        <f>'[1]V, inciso p) (OP)'!V381</f>
        <v>MANJARREZ</v>
      </c>
      <c r="M719" s="6" t="s">
        <v>2033</v>
      </c>
      <c r="N719" s="6" t="str">
        <f>'[1]V, inciso p) (OP)'!X381</f>
        <v>TGE101215JI6</v>
      </c>
      <c r="O719" s="11">
        <f t="shared" si="20"/>
        <v>4990994.08</v>
      </c>
      <c r="P719" s="11">
        <v>4990994.08</v>
      </c>
      <c r="Q719" s="19" t="s">
        <v>1235</v>
      </c>
      <c r="R719" s="15">
        <f>O719/990</f>
        <v>5041.408161616162</v>
      </c>
      <c r="S719" s="7" t="s">
        <v>41</v>
      </c>
      <c r="T719" s="12">
        <v>2096</v>
      </c>
      <c r="U719" s="13" t="s">
        <v>42</v>
      </c>
      <c r="V719" s="7" t="s">
        <v>43</v>
      </c>
      <c r="W719" s="10">
        <f>'[1]V, inciso p) (OP)'!AM381</f>
        <v>43248</v>
      </c>
      <c r="X719" s="10">
        <f>'[1]V, inciso p) (OP)'!AN381</f>
        <v>43337</v>
      </c>
      <c r="Y719" s="7" t="s">
        <v>462</v>
      </c>
      <c r="Z719" s="7" t="s">
        <v>310</v>
      </c>
      <c r="AA719" s="7" t="s">
        <v>130</v>
      </c>
      <c r="AB719" s="21" t="s">
        <v>2492</v>
      </c>
      <c r="AC719" s="6" t="s">
        <v>2438</v>
      </c>
      <c r="AD719" s="6"/>
    </row>
    <row r="720" spans="1:30" ht="69.95" customHeight="1">
      <c r="A720" s="16">
        <v>86</v>
      </c>
      <c r="B720" s="7">
        <v>2018</v>
      </c>
      <c r="C720" s="6" t="str">
        <f>'[1]V, inciso p) (OP)'!B382</f>
        <v>Licitación por Invitación Restringida</v>
      </c>
      <c r="D720" s="6" t="str">
        <f>'[1]V, inciso p) (OP)'!D382</f>
        <v>DOPI-MUN-FORTA-IE-CI-086-2018</v>
      </c>
      <c r="E720" s="10">
        <f>'[1]V, inciso p) (OP)'!AD382</f>
        <v>43248</v>
      </c>
      <c r="F720" s="32" t="str">
        <f>'[1]V, inciso p) (OP)'!AL382</f>
        <v>Estructuras con lonaria, rehabilitación de cancha de usos múltiples, peatonalización y obra complementaria en el Preescolar Jardín De Niños María Guadalupe Palafox Ornelas, ubicado en la Calle López Portillo, Colonia Jardines Del Ixtepete, Clave: 14DJN1398O, y en la Escuela Primaria Juan Rulfo, ubicada en la Calle Viña del Mar, Colonia Miramar, Clave: 14EPR1546W municipio de Zapopan, Jalisco.</v>
      </c>
      <c r="G720" s="6" t="s">
        <v>3340</v>
      </c>
      <c r="H720" s="25">
        <v>2392648.62</v>
      </c>
      <c r="I720" s="6" t="str">
        <f>'[1]V, inciso p) (OP)'!AS382</f>
        <v>Colonias Jardines del Ixtepete y Miramar</v>
      </c>
      <c r="J720" s="6" t="str">
        <f>'[1]V, inciso p) (OP)'!T382</f>
        <v>EDWIN</v>
      </c>
      <c r="K720" s="6" t="str">
        <f>'[1]V, inciso p) (OP)'!U382</f>
        <v>AGUIAR</v>
      </c>
      <c r="L720" s="6" t="str">
        <f>'[1]V, inciso p) (OP)'!V382</f>
        <v>ESCATEL</v>
      </c>
      <c r="M720" s="6" t="s">
        <v>2047</v>
      </c>
      <c r="N720" s="6" t="str">
        <f>'[1]V, inciso p) (OP)'!X382</f>
        <v>MUR090325P33</v>
      </c>
      <c r="O720" s="11">
        <f t="shared" si="20"/>
        <v>2392648.62</v>
      </c>
      <c r="P720" s="11">
        <v>2392648.62</v>
      </c>
      <c r="Q720" s="19" t="s">
        <v>588</v>
      </c>
      <c r="R720" s="15">
        <f>O720/426</f>
        <v>5616.5460563380284</v>
      </c>
      <c r="S720" s="7" t="s">
        <v>41</v>
      </c>
      <c r="T720" s="12">
        <v>1678</v>
      </c>
      <c r="U720" s="13" t="s">
        <v>42</v>
      </c>
      <c r="V720" s="7" t="s">
        <v>43</v>
      </c>
      <c r="W720" s="10">
        <f>'[1]V, inciso p) (OP)'!AM382</f>
        <v>43248</v>
      </c>
      <c r="X720" s="10">
        <f>'[1]V, inciso p) (OP)'!AN382</f>
        <v>43337</v>
      </c>
      <c r="Y720" s="7" t="s">
        <v>429</v>
      </c>
      <c r="Z720" s="7" t="s">
        <v>72</v>
      </c>
      <c r="AA720" s="7" t="s">
        <v>557</v>
      </c>
      <c r="AB720" s="21" t="s">
        <v>2493</v>
      </c>
      <c r="AC720" s="6" t="s">
        <v>2438</v>
      </c>
      <c r="AD720" s="6"/>
    </row>
    <row r="721" spans="1:30" ht="69.95" customHeight="1">
      <c r="A721" s="16">
        <v>87</v>
      </c>
      <c r="B721" s="7">
        <v>2018</v>
      </c>
      <c r="C721" s="6" t="str">
        <f>'[1]V, inciso p) (OP)'!B383</f>
        <v>Licitación por Invitación Restringida</v>
      </c>
      <c r="D721" s="6" t="str">
        <f>'[1]V, inciso p) (OP)'!D383</f>
        <v>DOPI-MUN-FORTA-IE-CI-087-2018</v>
      </c>
      <c r="E721" s="10">
        <f>'[1]V, inciso p) (OP)'!AD383</f>
        <v>43248</v>
      </c>
      <c r="F721" s="32" t="str">
        <f>'[1]V, inciso p) (OP)'!AL383</f>
        <v>Estructuras con lonaria, rehabilitación de cancha de usos múltiples, peatonalización y obra complementaria en la Escuela Primaria J. Jesús González Gallo, ubicada en la Calle Sayil, Colonia Jardines del Sol, Clave: 14DPR1388Y, municipio de Zapopan, Jalisco.</v>
      </c>
      <c r="G721" s="6" t="s">
        <v>3340</v>
      </c>
      <c r="H721" s="25">
        <v>2686219.06</v>
      </c>
      <c r="I721" s="6" t="str">
        <f>'[1]V, inciso p) (OP)'!AS383</f>
        <v>Colonia Jardines del Sol</v>
      </c>
      <c r="J721" s="6" t="str">
        <f>'[1]V, inciso p) (OP)'!T383</f>
        <v>HÉCTOR MARIO</v>
      </c>
      <c r="K721" s="6" t="str">
        <f>'[1]V, inciso p) (OP)'!U383</f>
        <v>GÓMEZ</v>
      </c>
      <c r="L721" s="6" t="str">
        <f>'[1]V, inciso p) (OP)'!V383</f>
        <v>GALVARRIATO FREER</v>
      </c>
      <c r="M721" s="6" t="s">
        <v>1924</v>
      </c>
      <c r="N721" s="6" t="str">
        <f>'[1]V, inciso p) (OP)'!X383</f>
        <v>EAP000106BW7</v>
      </c>
      <c r="O721" s="11">
        <f t="shared" si="20"/>
        <v>2686219.06</v>
      </c>
      <c r="P721" s="11">
        <v>2686219.05</v>
      </c>
      <c r="Q721" s="19" t="s">
        <v>1180</v>
      </c>
      <c r="R721" s="15">
        <f>O721/700</f>
        <v>3837.4558000000002</v>
      </c>
      <c r="S721" s="7" t="s">
        <v>41</v>
      </c>
      <c r="T721" s="12">
        <v>2215</v>
      </c>
      <c r="U721" s="13" t="s">
        <v>42</v>
      </c>
      <c r="V721" s="7" t="s">
        <v>43</v>
      </c>
      <c r="W721" s="10">
        <f>'[1]V, inciso p) (OP)'!AM383</f>
        <v>43248</v>
      </c>
      <c r="X721" s="10">
        <f>'[1]V, inciso p) (OP)'!AN383</f>
        <v>43337</v>
      </c>
      <c r="Y721" s="7" t="s">
        <v>603</v>
      </c>
      <c r="Z721" s="7" t="s">
        <v>604</v>
      </c>
      <c r="AA721" s="7" t="s">
        <v>605</v>
      </c>
      <c r="AB721" s="21" t="s">
        <v>2809</v>
      </c>
      <c r="AC721" s="6" t="s">
        <v>2438</v>
      </c>
      <c r="AD721" s="6"/>
    </row>
    <row r="722" spans="1:30" ht="69.95" customHeight="1">
      <c r="A722" s="16">
        <v>88</v>
      </c>
      <c r="B722" s="7">
        <v>2018</v>
      </c>
      <c r="C722" s="6" t="str">
        <f>'[1]V, inciso p) (OP)'!B384</f>
        <v>Licitación por Invitación Restringida</v>
      </c>
      <c r="D722" s="6" t="str">
        <f>'[1]V, inciso p) (OP)'!D384</f>
        <v>DOPI-MUN-RM-PAV-CI-088-2018</v>
      </c>
      <c r="E722" s="10">
        <f>'[1]V, inciso p) (OP)'!AD384</f>
        <v>43248</v>
      </c>
      <c r="F722" s="6" t="str">
        <f>'[1]V, inciso p) (OP)'!AL384</f>
        <v>Pavimentación con concreto hidráulico de calle Juan del Carmen, de calle Urano a Periférico, incluye agua potable, drenaje, guarniciones, banquetas, alumbrado y señalética, en la colonia La Palmita, Municipio de Zapopan, Jalisco, Primera Etapa.</v>
      </c>
      <c r="G722" s="6" t="s">
        <v>63</v>
      </c>
      <c r="H722" s="25">
        <v>1991563.49</v>
      </c>
      <c r="I722" s="6" t="str">
        <f>'[1]V, inciso p) (OP)'!AS384</f>
        <v>Colonia La Palmita</v>
      </c>
      <c r="J722" s="6" t="str">
        <f>'[1]V, inciso p) (OP)'!T384</f>
        <v>LAURA LILIA</v>
      </c>
      <c r="K722" s="6" t="str">
        <f>'[1]V, inciso p) (OP)'!U384</f>
        <v>ARELLANO</v>
      </c>
      <c r="L722" s="6" t="str">
        <f>'[1]V, inciso p) (OP)'!V384</f>
        <v>CERNA</v>
      </c>
      <c r="M722" s="6" t="s">
        <v>3250</v>
      </c>
      <c r="N722" s="6" t="str">
        <f>'[1]V, inciso p) (OP)'!X384</f>
        <v>CEI120724PR2</v>
      </c>
      <c r="O722" s="11">
        <f t="shared" si="20"/>
        <v>1991563.49</v>
      </c>
      <c r="P722" s="11">
        <v>1883842.44</v>
      </c>
      <c r="Q722" s="19" t="s">
        <v>1240</v>
      </c>
      <c r="R722" s="15">
        <f>O722/815</f>
        <v>2443.6361840490799</v>
      </c>
      <c r="S722" s="7" t="s">
        <v>41</v>
      </c>
      <c r="T722" s="12">
        <v>638</v>
      </c>
      <c r="U722" s="13" t="s">
        <v>42</v>
      </c>
      <c r="V722" s="7" t="s">
        <v>43</v>
      </c>
      <c r="W722" s="10">
        <f>'[1]V, inciso p) (OP)'!AM384</f>
        <v>43248</v>
      </c>
      <c r="X722" s="10">
        <f>'[1]V, inciso p) (OP)'!AN384</f>
        <v>43307</v>
      </c>
      <c r="Y722" s="7" t="s">
        <v>360</v>
      </c>
      <c r="Z722" s="7" t="s">
        <v>260</v>
      </c>
      <c r="AA722" s="7" t="s">
        <v>1241</v>
      </c>
      <c r="AB722" s="21" t="s">
        <v>2494</v>
      </c>
      <c r="AC722" s="6" t="s">
        <v>2438</v>
      </c>
      <c r="AD722" s="6"/>
    </row>
    <row r="723" spans="1:30" ht="69.95" customHeight="1">
      <c r="A723" s="16">
        <v>89</v>
      </c>
      <c r="B723" s="7">
        <v>2018</v>
      </c>
      <c r="C723" s="6" t="str">
        <f>'[1]V, inciso p) (OP)'!B385</f>
        <v>Licitación por Invitación Restringida</v>
      </c>
      <c r="D723" s="6" t="str">
        <f>'[1]V, inciso p) (OP)'!D385</f>
        <v>DOPI-MUN-RM-PAV-CI-089-2018</v>
      </c>
      <c r="E723" s="10">
        <f>'[1]V, inciso p) (OP)'!AD385</f>
        <v>43248</v>
      </c>
      <c r="F723" s="6" t="str">
        <f>'[1]V, inciso p) (OP)'!AL385</f>
        <v>Pavimentación con mezcla asfáltica de calle Víctor Hugo, de calle Corpeña a calle Del Canal, incluye agua potable, drenaje, guarniciones, banquetas, alumbrado y señalética, en la colonia Víctor Hugo, Municipio de Zapopan, Jalisco, frente 1.</v>
      </c>
      <c r="G723" s="6" t="s">
        <v>63</v>
      </c>
      <c r="H723" s="25">
        <v>2586820.56</v>
      </c>
      <c r="I723" s="6" t="str">
        <f>'[1]V, inciso p) (OP)'!AS385</f>
        <v>Colonia Víctor Hugo</v>
      </c>
      <c r="J723" s="6" t="str">
        <f>'[1]V, inciso p) (OP)'!T385</f>
        <v>VICTOR MANUEL</v>
      </c>
      <c r="K723" s="6" t="str">
        <f>'[1]V, inciso p) (OP)'!U385</f>
        <v>JAUREGUI</v>
      </c>
      <c r="L723" s="6" t="str">
        <f>'[1]V, inciso p) (OP)'!V385</f>
        <v>TORRES</v>
      </c>
      <c r="M723" s="6" t="s">
        <v>2004</v>
      </c>
      <c r="N723" s="6" t="str">
        <f>'[1]V, inciso p) (OP)'!X385</f>
        <v>CEA070208SB1</v>
      </c>
      <c r="O723" s="11">
        <f t="shared" si="20"/>
        <v>2586820.56</v>
      </c>
      <c r="P723" s="11">
        <v>2582706.0100000002</v>
      </c>
      <c r="Q723" s="19" t="s">
        <v>1242</v>
      </c>
      <c r="R723" s="15">
        <f>O723/1395</f>
        <v>1854.3516559139784</v>
      </c>
      <c r="S723" s="7" t="s">
        <v>41</v>
      </c>
      <c r="T723" s="12">
        <v>4023</v>
      </c>
      <c r="U723" s="13" t="s">
        <v>42</v>
      </c>
      <c r="V723" s="7" t="s">
        <v>43</v>
      </c>
      <c r="W723" s="10">
        <f>'[1]V, inciso p) (OP)'!AM385</f>
        <v>43248</v>
      </c>
      <c r="X723" s="10">
        <f>'[1]V, inciso p) (OP)'!AN385</f>
        <v>43337</v>
      </c>
      <c r="Y723" s="7" t="s">
        <v>441</v>
      </c>
      <c r="Z723" s="7" t="s">
        <v>442</v>
      </c>
      <c r="AA723" s="7" t="s">
        <v>443</v>
      </c>
      <c r="AB723" s="21" t="s">
        <v>2495</v>
      </c>
      <c r="AC723" s="6" t="s">
        <v>2438</v>
      </c>
      <c r="AD723" s="6"/>
    </row>
    <row r="724" spans="1:30" ht="69.95" customHeight="1">
      <c r="A724" s="16">
        <v>90</v>
      </c>
      <c r="B724" s="7">
        <v>2018</v>
      </c>
      <c r="C724" s="6" t="str">
        <f>'[1]V, inciso p) (OP)'!B386</f>
        <v>Licitación por Invitación Restringida</v>
      </c>
      <c r="D724" s="6" t="str">
        <f>'[1]V, inciso p) (OP)'!D386</f>
        <v>DOPI-MUN-RM-PAV-CI-090-2018</v>
      </c>
      <c r="E724" s="10">
        <f>'[1]V, inciso p) (OP)'!AD386</f>
        <v>43248</v>
      </c>
      <c r="F724" s="6" t="str">
        <f>'[1]V, inciso p) (OP)'!AL386</f>
        <v>Pavimentación con mezcla asfáltica de calle Víctor Hugo, de calle Corpeña a calle Del Canal, incluye agua potable, drenaje, guarniciones, banquetas, alumbrado y señalética, en la colonia Víctor Hugo, Municipio de Zapopan, Jalisco, frente 2.</v>
      </c>
      <c r="G724" s="6" t="s">
        <v>63</v>
      </c>
      <c r="H724" s="25">
        <v>2203887.4900000002</v>
      </c>
      <c r="I724" s="6" t="str">
        <f>'[1]V, inciso p) (OP)'!AS386</f>
        <v>Colonia Víctor Hugo</v>
      </c>
      <c r="J724" s="6" t="str">
        <f>'[1]V, inciso p) (OP)'!T386</f>
        <v>MAXIMILIANO</v>
      </c>
      <c r="K724" s="6" t="str">
        <f>'[1]V, inciso p) (OP)'!U386</f>
        <v>TORRES</v>
      </c>
      <c r="L724" s="6" t="str">
        <f>'[1]V, inciso p) (OP)'!V386</f>
        <v>LÓPEZ</v>
      </c>
      <c r="M724" s="6" t="s">
        <v>3235</v>
      </c>
      <c r="N724" s="6" t="str">
        <f>'[1]V, inciso p) (OP)'!X386</f>
        <v>GCS080902S44</v>
      </c>
      <c r="O724" s="11">
        <f t="shared" si="20"/>
        <v>2203887.4900000002</v>
      </c>
      <c r="P724" s="11">
        <f t="shared" ref="P724:P725" si="22">O724</f>
        <v>2203887.4900000002</v>
      </c>
      <c r="Q724" s="19" t="s">
        <v>1243</v>
      </c>
      <c r="R724" s="15">
        <f>O724/1065</f>
        <v>2069.3779248826295</v>
      </c>
      <c r="S724" s="7" t="s">
        <v>41</v>
      </c>
      <c r="T724" s="12">
        <v>4023</v>
      </c>
      <c r="U724" s="13" t="s">
        <v>42</v>
      </c>
      <c r="V724" s="7" t="s">
        <v>373</v>
      </c>
      <c r="W724" s="10">
        <f>'[1]V, inciso p) (OP)'!AM386</f>
        <v>43248</v>
      </c>
      <c r="X724" s="10">
        <f>'[1]V, inciso p) (OP)'!AN386</f>
        <v>43337</v>
      </c>
      <c r="Y724" s="7" t="s">
        <v>441</v>
      </c>
      <c r="Z724" s="7" t="s">
        <v>442</v>
      </c>
      <c r="AA724" s="7" t="s">
        <v>443</v>
      </c>
      <c r="AB724" s="21" t="s">
        <v>2276</v>
      </c>
      <c r="AC724" s="6" t="s">
        <v>2438</v>
      </c>
      <c r="AD724" s="6"/>
    </row>
    <row r="725" spans="1:30" ht="69.95" customHeight="1">
      <c r="A725" s="16">
        <v>91</v>
      </c>
      <c r="B725" s="7">
        <v>2018</v>
      </c>
      <c r="C725" s="6" t="str">
        <f>'[1]V, inciso p) (OP)'!B387</f>
        <v>Licitación por Invitación Restringida</v>
      </c>
      <c r="D725" s="6" t="str">
        <f>'[1]V, inciso p) (OP)'!D387</f>
        <v>DOPI-MUN-RM-PAV-CI-091-2018</v>
      </c>
      <c r="E725" s="10">
        <f>'[1]V, inciso p) (OP)'!AD387</f>
        <v>43248</v>
      </c>
      <c r="F725" s="6" t="str">
        <f>'[1]V, inciso p) (OP)'!AL387</f>
        <v>Pavimentación con concreto hidráulico de calle Morelos, de coto Rinconada Alcalde al Canal, Incluye agua potable, drenaje, guarniciones, banquetas, alumbrado y señalética, en la colonia Hogares del Batán, Municipio de Zapopan, Jalisco.</v>
      </c>
      <c r="G725" s="6" t="s">
        <v>63</v>
      </c>
      <c r="H725" s="25">
        <v>1610223.34</v>
      </c>
      <c r="I725" s="6" t="str">
        <f>'[1]V, inciso p) (OP)'!AS387</f>
        <v>Colonia Hogares del Batán</v>
      </c>
      <c r="J725" s="6" t="str">
        <f>'[1]V, inciso p) (OP)'!T387</f>
        <v>SERGIO CESAR</v>
      </c>
      <c r="K725" s="6" t="str">
        <f>'[1]V, inciso p) (OP)'!U387</f>
        <v>DÍAZ</v>
      </c>
      <c r="L725" s="6" t="str">
        <f>'[1]V, inciso p) (OP)'!V387</f>
        <v>QUIROZ</v>
      </c>
      <c r="M725" s="6" t="s">
        <v>1827</v>
      </c>
      <c r="N725" s="6" t="str">
        <f>'[1]V, inciso p) (OP)'!X387</f>
        <v>TRA750528286</v>
      </c>
      <c r="O725" s="11">
        <f t="shared" si="20"/>
        <v>1610223.34</v>
      </c>
      <c r="P725" s="11">
        <f t="shared" si="22"/>
        <v>1610223.34</v>
      </c>
      <c r="Q725" s="19" t="s">
        <v>1244</v>
      </c>
      <c r="R725" s="15">
        <f>O725/610</f>
        <v>2639.7103934426232</v>
      </c>
      <c r="S725" s="7" t="s">
        <v>41</v>
      </c>
      <c r="T725" s="12">
        <v>632</v>
      </c>
      <c r="U725" s="13" t="s">
        <v>42</v>
      </c>
      <c r="V725" s="7" t="s">
        <v>373</v>
      </c>
      <c r="W725" s="10">
        <f>'[1]V, inciso p) (OP)'!AM387</f>
        <v>43248</v>
      </c>
      <c r="X725" s="10">
        <f>'[1]V, inciso p) (OP)'!AN387</f>
        <v>43337</v>
      </c>
      <c r="Y725" s="7" t="s">
        <v>441</v>
      </c>
      <c r="Z725" s="7" t="s">
        <v>442</v>
      </c>
      <c r="AA725" s="7" t="s">
        <v>443</v>
      </c>
      <c r="AB725" s="21" t="s">
        <v>2496</v>
      </c>
      <c r="AC725" s="6" t="s">
        <v>2438</v>
      </c>
      <c r="AD725" s="6"/>
    </row>
    <row r="726" spans="1:30" ht="69.95" customHeight="1">
      <c r="A726" s="16">
        <v>92</v>
      </c>
      <c r="B726" s="7">
        <v>2018</v>
      </c>
      <c r="C726" s="6" t="str">
        <f>'[1]V, inciso p) (OP)'!B388</f>
        <v>Licitación por Invitación Restringida</v>
      </c>
      <c r="D726" s="6" t="str">
        <f>'[1]V, inciso p) (OP)'!D388</f>
        <v>DOPI-MUN-RM-PAV-CI-092-2018</v>
      </c>
      <c r="E726" s="10">
        <f>'[1]V, inciso p) (OP)'!AD388</f>
        <v>43248</v>
      </c>
      <c r="F726" s="6" t="str">
        <f>'[1]V, inciso p) (OP)'!AL388</f>
        <v>Pavimentación con mezcla asfáltica de calle Del Conde, de calle Circuito Madrigal a cerrada, incluye: guarniciones, banquetas y señalética, en la colonia Villa Universitaria, municipio de Zapopan, Jalisco.</v>
      </c>
      <c r="G726" s="6" t="s">
        <v>63</v>
      </c>
      <c r="H726" s="25">
        <v>2045988.61</v>
      </c>
      <c r="I726" s="6" t="str">
        <f>'[1]V, inciso p) (OP)'!AS388</f>
        <v>Colonia Villa Universitaria</v>
      </c>
      <c r="J726" s="6" t="str">
        <f>'[1]V, inciso p) (OP)'!T388</f>
        <v>JESÚS DAVID</v>
      </c>
      <c r="K726" s="6" t="str">
        <f>'[1]V, inciso p) (OP)'!U388</f>
        <v xml:space="preserve">GARZA </v>
      </c>
      <c r="L726" s="6" t="str">
        <f>'[1]V, inciso p) (OP)'!V388</f>
        <v>GARCÍA</v>
      </c>
      <c r="M726" s="6" t="s">
        <v>3263</v>
      </c>
      <c r="N726" s="6" t="str">
        <f>'[1]V, inciso p) (OP)'!X388</f>
        <v>CGG040518F81</v>
      </c>
      <c r="O726" s="11">
        <f t="shared" si="20"/>
        <v>2045988.61</v>
      </c>
      <c r="P726" s="11">
        <v>2045898.9900000002</v>
      </c>
      <c r="Q726" s="19" t="s">
        <v>933</v>
      </c>
      <c r="R726" s="15">
        <f>O726/2720</f>
        <v>752.20169485294116</v>
      </c>
      <c r="S726" s="7" t="s">
        <v>41</v>
      </c>
      <c r="T726" s="12">
        <v>926</v>
      </c>
      <c r="U726" s="13" t="s">
        <v>42</v>
      </c>
      <c r="V726" s="43" t="s">
        <v>43</v>
      </c>
      <c r="W726" s="10">
        <f>'[1]V, inciso p) (OP)'!AM388</f>
        <v>43248</v>
      </c>
      <c r="X726" s="10">
        <f>'[1]V, inciso p) (OP)'!AN388</f>
        <v>43322</v>
      </c>
      <c r="Y726" s="7" t="s">
        <v>521</v>
      </c>
      <c r="Z726" s="7" t="s">
        <v>522</v>
      </c>
      <c r="AA726" s="7" t="s">
        <v>523</v>
      </c>
      <c r="AB726" s="21" t="s">
        <v>2497</v>
      </c>
      <c r="AC726" s="6" t="s">
        <v>2438</v>
      </c>
      <c r="AD726" s="6"/>
    </row>
    <row r="727" spans="1:30" ht="69.95" customHeight="1">
      <c r="A727" s="16">
        <v>94</v>
      </c>
      <c r="B727" s="7">
        <v>2018</v>
      </c>
      <c r="C727" s="6" t="str">
        <f>'[1]V, inciso p) (OP)'!B389</f>
        <v>Licitación por Invitación Restringida</v>
      </c>
      <c r="D727" s="6" t="str">
        <f>'[1]V, inciso p) (OP)'!D389</f>
        <v>DOPI-MUN-RM-PAV-CI-094-2018</v>
      </c>
      <c r="E727" s="10">
        <f>'[1]V, inciso p) (OP)'!AD389</f>
        <v>43248</v>
      </c>
      <c r="F727" s="6" t="str">
        <f>'[1]V, inciso p) (OP)'!AL389</f>
        <v>Pavimentación con mezcla asfáltica de calles Severo Díaz, José María Arreola, Playa Blanca Oriente y Playa Blanca Poniente, en la colonia Residencial Moctezuma, incluye: guarniciones, banquetas y señalética, Municipio de Zapopan, Jalisco, frente 1.</v>
      </c>
      <c r="G727" s="6" t="s">
        <v>63</v>
      </c>
      <c r="H727" s="25">
        <v>3621465.65</v>
      </c>
      <c r="I727" s="6" t="str">
        <f>'[1]V, inciso p) (OP)'!AS389</f>
        <v>Colonia Resindencial Moctezuma</v>
      </c>
      <c r="J727" s="6" t="str">
        <f>'[1]V, inciso p) (OP)'!T389</f>
        <v>OMAR ALFREDO</v>
      </c>
      <c r="K727" s="6" t="str">
        <f>'[1]V, inciso p) (OP)'!U389</f>
        <v>MARTÍNEZ</v>
      </c>
      <c r="L727" s="6" t="str">
        <f>'[1]V, inciso p) (OP)'!V389</f>
        <v>GÓMEZ</v>
      </c>
      <c r="M727" s="6" t="s">
        <v>3264</v>
      </c>
      <c r="N727" s="6" t="str">
        <f>'[1]V, inciso p) (OP)'!X389</f>
        <v>IMS060720JX9</v>
      </c>
      <c r="O727" s="11">
        <f t="shared" si="20"/>
        <v>3621465.65</v>
      </c>
      <c r="P727" s="11">
        <v>2263292.9696</v>
      </c>
      <c r="Q727" s="19" t="s">
        <v>1245</v>
      </c>
      <c r="R727" s="15">
        <f>O727/4100</f>
        <v>883.28430487804872</v>
      </c>
      <c r="S727" s="7" t="s">
        <v>41</v>
      </c>
      <c r="T727" s="12">
        <v>21056</v>
      </c>
      <c r="U727" s="13" t="s">
        <v>42</v>
      </c>
      <c r="V727" s="43" t="s">
        <v>43</v>
      </c>
      <c r="W727" s="10">
        <f>'[1]V, inciso p) (OP)'!AM389</f>
        <v>43248</v>
      </c>
      <c r="X727" s="10">
        <f>'[1]V, inciso p) (OP)'!AN389</f>
        <v>43337</v>
      </c>
      <c r="Y727" s="7" t="s">
        <v>521</v>
      </c>
      <c r="Z727" s="7" t="s">
        <v>522</v>
      </c>
      <c r="AA727" s="7" t="s">
        <v>523</v>
      </c>
      <c r="AB727" s="21" t="s">
        <v>2277</v>
      </c>
      <c r="AC727" s="6" t="s">
        <v>2438</v>
      </c>
      <c r="AD727" s="6"/>
    </row>
    <row r="728" spans="1:30" ht="69.95" customHeight="1">
      <c r="A728" s="16">
        <v>95</v>
      </c>
      <c r="B728" s="7">
        <v>2018</v>
      </c>
      <c r="C728" s="6" t="str">
        <f>'[1]V, inciso p) (OP)'!B390</f>
        <v>Licitación por Invitación Restringida</v>
      </c>
      <c r="D728" s="6" t="str">
        <f>'[1]V, inciso p) (OP)'!D390</f>
        <v>DOPI-MUN-RM-PAV-CI-095-2018</v>
      </c>
      <c r="E728" s="10">
        <f>'[1]V, inciso p) (OP)'!AD390</f>
        <v>43248</v>
      </c>
      <c r="F728" s="6" t="str">
        <f>'[1]V, inciso p) (OP)'!AL390</f>
        <v>Pavimentación con mezcla asfáltica de calles Severo Díaz, José María Arreola, Playa Blanca Oriente y Playa Blanca Poniente, en la colonia Residencial Moctezuma, incluye: guarniciones, banquetas y señalética, Municipio de Zapopan, Jalisco, frente 2.</v>
      </c>
      <c r="G728" s="6" t="s">
        <v>63</v>
      </c>
      <c r="H728" s="25">
        <v>3349631.52</v>
      </c>
      <c r="I728" s="6" t="str">
        <f>'[1]V, inciso p) (OP)'!AS390</f>
        <v>Colonia Resindencial Moctezuma</v>
      </c>
      <c r="J728" s="6" t="str">
        <f>'[1]V, inciso p) (OP)'!T390</f>
        <v>OSCAR MELESIO</v>
      </c>
      <c r="K728" s="6" t="str">
        <f>'[1]V, inciso p) (OP)'!U390</f>
        <v>HERNÁNDEZ</v>
      </c>
      <c r="L728" s="6" t="str">
        <f>'[1]V, inciso p) (OP)'!V390</f>
        <v>VALERIANO</v>
      </c>
      <c r="M728" s="6" t="s">
        <v>3265</v>
      </c>
      <c r="N728" s="6" t="str">
        <f>'[1]V, inciso p) (OP)'!X390</f>
        <v>CGR120828P29</v>
      </c>
      <c r="O728" s="11">
        <f t="shared" si="20"/>
        <v>3349631.52</v>
      </c>
      <c r="P728" s="11">
        <v>2671889.58</v>
      </c>
      <c r="Q728" s="19" t="s">
        <v>1246</v>
      </c>
      <c r="R728" s="15">
        <f>O728/3650</f>
        <v>917.70726575342462</v>
      </c>
      <c r="S728" s="7" t="s">
        <v>41</v>
      </c>
      <c r="T728" s="12">
        <v>21056</v>
      </c>
      <c r="U728" s="13" t="s">
        <v>42</v>
      </c>
      <c r="V728" s="7" t="s">
        <v>43</v>
      </c>
      <c r="W728" s="10">
        <f>'[1]V, inciso p) (OP)'!AM390</f>
        <v>43248</v>
      </c>
      <c r="X728" s="10">
        <f>'[1]V, inciso p) (OP)'!AN390</f>
        <v>43337</v>
      </c>
      <c r="Y728" s="7" t="s">
        <v>521</v>
      </c>
      <c r="Z728" s="7" t="s">
        <v>522</v>
      </c>
      <c r="AA728" s="7" t="s">
        <v>523</v>
      </c>
      <c r="AB728" s="21" t="s">
        <v>2498</v>
      </c>
      <c r="AC728" s="6" t="s">
        <v>2438</v>
      </c>
      <c r="AD728" s="6"/>
    </row>
    <row r="729" spans="1:30" ht="69.95" customHeight="1">
      <c r="A729" s="16">
        <v>96</v>
      </c>
      <c r="B729" s="7">
        <v>2018</v>
      </c>
      <c r="C729" s="6" t="str">
        <f>'[1]V, inciso p) (OP)'!B391</f>
        <v>Licitación por Invitación Restringida</v>
      </c>
      <c r="D729" s="6" t="str">
        <f>'[1]V, inciso p) (OP)'!D391</f>
        <v>DOPI-MUN-RM-PAV-CI-096-2018</v>
      </c>
      <c r="E729" s="10">
        <f>'[1]V, inciso p) (OP)'!AD391</f>
        <v>43248</v>
      </c>
      <c r="F729" s="6" t="str">
        <f>'[1]V, inciso p) (OP)'!AL391</f>
        <v>Pavimentación con mezcla asfáltica de calle Belisario Domínguez - Paseo de la Primavera, de privada Mariano Otero a Av. Guadalupe, en las colonias Mariano Otero y Arenales Tapatíos, segunda etapa, Municipio de Zapopan, Jalisco, frente 1.</v>
      </c>
      <c r="G729" s="6" t="s">
        <v>63</v>
      </c>
      <c r="H729" s="25">
        <v>2793673.85</v>
      </c>
      <c r="I729" s="6" t="str">
        <f>'[1]V, inciso p) (OP)'!AS391</f>
        <v>Colonias Mariano Otero y Arenales Tapatíos</v>
      </c>
      <c r="J729" s="6" t="str">
        <f>'[1]V, inciso p) (OP)'!T391</f>
        <v>ORNELLA CAROLINA</v>
      </c>
      <c r="K729" s="6" t="str">
        <f>'[1]V, inciso p) (OP)'!U391</f>
        <v>LEGASPI</v>
      </c>
      <c r="L729" s="6" t="str">
        <f>'[1]V, inciso p) (OP)'!V391</f>
        <v>MUÑOZ</v>
      </c>
      <c r="M729" s="6" t="s">
        <v>3140</v>
      </c>
      <c r="N729" s="6" t="str">
        <f>'[1]V, inciso p) (OP)'!X391</f>
        <v>TEM141021N31</v>
      </c>
      <c r="O729" s="11">
        <f t="shared" si="20"/>
        <v>2793673.85</v>
      </c>
      <c r="P729" s="11">
        <v>1517278.0799999998</v>
      </c>
      <c r="Q729" s="19" t="s">
        <v>1247</v>
      </c>
      <c r="R729" s="15">
        <f>O729/4050</f>
        <v>689.79601234567906</v>
      </c>
      <c r="S729" s="7" t="s">
        <v>41</v>
      </c>
      <c r="T729" s="12">
        <v>1267</v>
      </c>
      <c r="U729" s="13" t="s">
        <v>42</v>
      </c>
      <c r="V729" s="43" t="s">
        <v>43</v>
      </c>
      <c r="W729" s="10">
        <f>'[1]V, inciso p) (OP)'!AM391</f>
        <v>43248</v>
      </c>
      <c r="X729" s="10">
        <f>'[1]V, inciso p) (OP)'!AN391</f>
        <v>43322</v>
      </c>
      <c r="Y729" s="7" t="s">
        <v>375</v>
      </c>
      <c r="Z729" s="7" t="s">
        <v>252</v>
      </c>
      <c r="AA729" s="7" t="s">
        <v>253</v>
      </c>
      <c r="AB729" s="21" t="s">
        <v>2499</v>
      </c>
      <c r="AC729" s="6" t="s">
        <v>2438</v>
      </c>
      <c r="AD729" s="6"/>
    </row>
    <row r="730" spans="1:30" ht="69.95" customHeight="1">
      <c r="A730" s="16">
        <v>97</v>
      </c>
      <c r="B730" s="7">
        <v>2018</v>
      </c>
      <c r="C730" s="6" t="str">
        <f>'[1]V, inciso p) (OP)'!B392</f>
        <v>Licitación por Invitación Restringida</v>
      </c>
      <c r="D730" s="6" t="str">
        <f>'[1]V, inciso p) (OP)'!D392</f>
        <v>DOPI-MUN-RM-PAV-CI-097-2018</v>
      </c>
      <c r="E730" s="10">
        <f>'[1]V, inciso p) (OP)'!AD392</f>
        <v>43248</v>
      </c>
      <c r="F730" s="6" t="str">
        <f>'[1]V, inciso p) (OP)'!AL392</f>
        <v>Pavimentación con mezcla asfáltica de calle Belisario Domínguez - Paseo de la Primavera, de privada Mariano Otero a Av. Guadalupe, en las colonias Mariano Otero y Arenales Tapatíos, segunda etapa, Municipio de Zapopan, Jalisco, frente 2.</v>
      </c>
      <c r="G730" s="6" t="s">
        <v>63</v>
      </c>
      <c r="H730" s="25">
        <v>2194570.06</v>
      </c>
      <c r="I730" s="6" t="str">
        <f>'[1]V, inciso p) (OP)'!AS392</f>
        <v>Colonias Mariano Otero y Arenales Tapatíos</v>
      </c>
      <c r="J730" s="6" t="str">
        <f>'[1]V, inciso p) (OP)'!T392</f>
        <v>JOSÉ FRANCISCO</v>
      </c>
      <c r="K730" s="6" t="str">
        <f>'[1]V, inciso p) (OP)'!U392</f>
        <v>LLAGUNO</v>
      </c>
      <c r="L730" s="6" t="str">
        <f>'[1]V, inciso p) (OP)'!V392</f>
        <v>YZABAL</v>
      </c>
      <c r="M730" s="6" t="s">
        <v>3266</v>
      </c>
      <c r="N730" s="6" t="str">
        <f>'[1]V, inciso p) (OP)'!X392</f>
        <v>ESP940311A26</v>
      </c>
      <c r="O730" s="11">
        <f t="shared" si="20"/>
        <v>2194570.06</v>
      </c>
      <c r="P730" s="11">
        <v>2110154.34</v>
      </c>
      <c r="Q730" s="19" t="s">
        <v>1248</v>
      </c>
      <c r="R730" s="15">
        <f>O730/3890</f>
        <v>564.15682776349615</v>
      </c>
      <c r="S730" s="7" t="s">
        <v>41</v>
      </c>
      <c r="T730" s="12">
        <v>1267</v>
      </c>
      <c r="U730" s="13" t="s">
        <v>42</v>
      </c>
      <c r="V730" s="7" t="s">
        <v>43</v>
      </c>
      <c r="W730" s="10">
        <f>'[1]V, inciso p) (OP)'!AM392</f>
        <v>43248</v>
      </c>
      <c r="X730" s="10">
        <f>'[1]V, inciso p) (OP)'!AN392</f>
        <v>43322</v>
      </c>
      <c r="Y730" s="7" t="s">
        <v>375</v>
      </c>
      <c r="Z730" s="7" t="s">
        <v>252</v>
      </c>
      <c r="AA730" s="7" t="s">
        <v>253</v>
      </c>
      <c r="AB730" s="21" t="s">
        <v>2500</v>
      </c>
      <c r="AC730" s="6" t="s">
        <v>2438</v>
      </c>
      <c r="AD730" s="6"/>
    </row>
    <row r="731" spans="1:30" ht="69.95" customHeight="1">
      <c r="A731" s="16">
        <v>98</v>
      </c>
      <c r="B731" s="7">
        <v>2018</v>
      </c>
      <c r="C731" s="6" t="str">
        <f>'[1]V, inciso p) (OP)'!B393</f>
        <v>Licitación por Invitación Restringida</v>
      </c>
      <c r="D731" s="6" t="str">
        <f>'[1]V, inciso p) (OP)'!D393</f>
        <v>DOPI-MUN-RM-PAV-CI-098-2018</v>
      </c>
      <c r="E731" s="10">
        <f>'[1]V, inciso p) (OP)'!AD393</f>
        <v>43248</v>
      </c>
      <c r="F731" s="32" t="str">
        <f>'[1]V, inciso p) (OP)'!AL393</f>
        <v>Pavimentación con concreto hidráulico de la Av. Camino Antiguo a Tesistan de la calle De las Palmeras a la calle Arcos de Alejandro carril sur, incluye: banquetas, servicios complementarios y señalamiento, en la colonia Parques de Zapopan, municipio de Zapopan, Jalisco.</v>
      </c>
      <c r="G731" s="6" t="s">
        <v>63</v>
      </c>
      <c r="H731" s="25">
        <v>3263043.32</v>
      </c>
      <c r="I731" s="6" t="str">
        <f>'[1]V, inciso p) (OP)'!AS393</f>
        <v>Colonia Parquesde Zapopan</v>
      </c>
      <c r="J731" s="6" t="str">
        <f>'[1]V, inciso p) (OP)'!T393</f>
        <v xml:space="preserve">NÉSTOR </v>
      </c>
      <c r="K731" s="6" t="str">
        <f>'[1]V, inciso p) (OP)'!U393</f>
        <v>DE LA TORRE</v>
      </c>
      <c r="L731" s="6" t="str">
        <f>'[1]V, inciso p) (OP)'!V393</f>
        <v>MENCHACA</v>
      </c>
      <c r="M731" s="6" t="s">
        <v>3139</v>
      </c>
      <c r="N731" s="6" t="str">
        <f>'[1]V, inciso p) (OP)'!X393</f>
        <v>ITO951005HY5</v>
      </c>
      <c r="O731" s="11">
        <f t="shared" si="20"/>
        <v>3263043.32</v>
      </c>
      <c r="P731" s="11">
        <v>3238435.0999999996</v>
      </c>
      <c r="Q731" s="19" t="s">
        <v>1249</v>
      </c>
      <c r="R731" s="15">
        <f>O731/2088</f>
        <v>1562.7602107279693</v>
      </c>
      <c r="S731" s="7" t="s">
        <v>41</v>
      </c>
      <c r="T731" s="12">
        <v>26021</v>
      </c>
      <c r="U731" s="13" t="s">
        <v>42</v>
      </c>
      <c r="V731" s="43" t="s">
        <v>43</v>
      </c>
      <c r="W731" s="10">
        <f>'[1]V, inciso p) (OP)'!AM393</f>
        <v>43248</v>
      </c>
      <c r="X731" s="10">
        <f>'[1]V, inciso p) (OP)'!AN393</f>
        <v>43317</v>
      </c>
      <c r="Y731" s="7" t="s">
        <v>331</v>
      </c>
      <c r="Z731" s="7" t="s">
        <v>332</v>
      </c>
      <c r="AA731" s="7" t="s">
        <v>116</v>
      </c>
      <c r="AB731" s="21" t="s">
        <v>2501</v>
      </c>
      <c r="AC731" s="6" t="s">
        <v>2438</v>
      </c>
      <c r="AD731" s="6"/>
    </row>
    <row r="732" spans="1:30" ht="69.95" customHeight="1">
      <c r="A732" s="16">
        <v>99</v>
      </c>
      <c r="B732" s="7">
        <v>2018</v>
      </c>
      <c r="C732" s="6" t="str">
        <f>'[1]V, inciso p) (OP)'!B394</f>
        <v>Licitación por Invitación Restringida</v>
      </c>
      <c r="D732" s="6" t="str">
        <f>'[1]V, inciso p) (OP)'!D394</f>
        <v>DOPI-MUN-RM-PAV-CI-099-2018</v>
      </c>
      <c r="E732" s="10">
        <f>'[1]V, inciso p) (OP)'!AD394</f>
        <v>43248</v>
      </c>
      <c r="F732" s="32" t="str">
        <f>'[1]V, inciso p) (OP)'!AL394</f>
        <v>Pavimentación con concreto hidráulico de la Av. Camino Antiguo a Tesistan de la calle De las Palmeras a la calle Arcos de Alejandro carril norte, incluye: pozos de absorción, servicios complementarios, señalamiento y arbolado, en la colonia Parques de Zapopan, municipio de Zapopan, Jalisco.</v>
      </c>
      <c r="G732" s="6" t="s">
        <v>63</v>
      </c>
      <c r="H732" s="25">
        <v>3122220.38</v>
      </c>
      <c r="I732" s="6" t="str">
        <f>'[1]V, inciso p) (OP)'!AS394</f>
        <v>Colonia Parquesde Zapopan</v>
      </c>
      <c r="J732" s="6" t="str">
        <f>'[1]V, inciso p) (OP)'!T394</f>
        <v>TOMÁS</v>
      </c>
      <c r="K732" s="6" t="str">
        <f>'[1]V, inciso p) (OP)'!U394</f>
        <v>SANDOVAL</v>
      </c>
      <c r="L732" s="6" t="str">
        <f>'[1]V, inciso p) (OP)'!V394</f>
        <v>ÁLVAREZ</v>
      </c>
      <c r="M732" s="6" t="s">
        <v>3244</v>
      </c>
      <c r="N732" s="6" t="str">
        <f>'[1]V, inciso p) (OP)'!X394</f>
        <v>CRM910909K48</v>
      </c>
      <c r="O732" s="11">
        <f t="shared" si="20"/>
        <v>3122220.38</v>
      </c>
      <c r="P732" s="11">
        <v>2832268.8899999997</v>
      </c>
      <c r="Q732" s="19" t="s">
        <v>1250</v>
      </c>
      <c r="R732" s="15">
        <f>O732/1536</f>
        <v>2032.6955598958332</v>
      </c>
      <c r="S732" s="7" t="s">
        <v>41</v>
      </c>
      <c r="T732" s="12">
        <v>26021</v>
      </c>
      <c r="U732" s="13" t="s">
        <v>42</v>
      </c>
      <c r="V732" s="43" t="s">
        <v>43</v>
      </c>
      <c r="W732" s="10">
        <f>'[1]V, inciso p) (OP)'!AM394</f>
        <v>43248</v>
      </c>
      <c r="X732" s="10">
        <f>'[1]V, inciso p) (OP)'!AN394</f>
        <v>43337</v>
      </c>
      <c r="Y732" s="7" t="s">
        <v>331</v>
      </c>
      <c r="Z732" s="7" t="s">
        <v>332</v>
      </c>
      <c r="AA732" s="7" t="s">
        <v>116</v>
      </c>
      <c r="AB732" s="21" t="s">
        <v>2502</v>
      </c>
      <c r="AC732" s="6" t="s">
        <v>2438</v>
      </c>
      <c r="AD732" s="6"/>
    </row>
    <row r="733" spans="1:30" ht="69.95" customHeight="1">
      <c r="A733" s="16">
        <v>100</v>
      </c>
      <c r="B733" s="7">
        <v>2018</v>
      </c>
      <c r="C733" s="6" t="str">
        <f>'[1]V, inciso p) (OP)'!B395</f>
        <v>Licitación por Invitación Restringida</v>
      </c>
      <c r="D733" s="6" t="str">
        <f>'[1]V, inciso p) (OP)'!D395</f>
        <v>DOPI-MUN-RM-IH-CI-100-2018</v>
      </c>
      <c r="E733" s="10">
        <f>'[1]V, inciso p) (OP)'!AD395</f>
        <v>43248</v>
      </c>
      <c r="F733" s="6" t="str">
        <f>'[1]V, inciso p) (OP)'!AL395</f>
        <v>Construcción de ollas de captación de agua y caminos saca cosechas, en el ejido de Santa Lucia, municipio de Zapopan, Jalisco. Frente 1.</v>
      </c>
      <c r="G733" s="6" t="s">
        <v>63</v>
      </c>
      <c r="H733" s="25">
        <v>2777774.19</v>
      </c>
      <c r="I733" s="6" t="str">
        <f>'[1]V, inciso p) (OP)'!AS395</f>
        <v>Ejido Santa Lucia</v>
      </c>
      <c r="J733" s="6" t="str">
        <f>'[1]V, inciso p) (OP)'!T395</f>
        <v>HELIODORO NICOLAS</v>
      </c>
      <c r="K733" s="6" t="str">
        <f>'[1]V, inciso p) (OP)'!U395</f>
        <v>ACEVES</v>
      </c>
      <c r="L733" s="6" t="str">
        <f>'[1]V, inciso p) (OP)'!V395</f>
        <v>OROZCO</v>
      </c>
      <c r="M733" s="6" t="s">
        <v>3267</v>
      </c>
      <c r="N733" s="6" t="str">
        <f>'[1]V, inciso p) (OP)'!X395</f>
        <v>IMA050204LA9</v>
      </c>
      <c r="O733" s="11">
        <f t="shared" si="20"/>
        <v>2777774.19</v>
      </c>
      <c r="P733" s="11">
        <v>2777774.09</v>
      </c>
      <c r="Q733" s="19" t="s">
        <v>1251</v>
      </c>
      <c r="R733" s="15">
        <f>O733/24311</f>
        <v>114.25997244045905</v>
      </c>
      <c r="S733" s="7" t="s">
        <v>41</v>
      </c>
      <c r="T733" s="12">
        <v>148</v>
      </c>
      <c r="U733" s="13" t="s">
        <v>42</v>
      </c>
      <c r="V733" s="43" t="s">
        <v>43</v>
      </c>
      <c r="W733" s="10">
        <f>'[1]V, inciso p) (OP)'!AM395</f>
        <v>43248</v>
      </c>
      <c r="X733" s="10">
        <f>'[1]V, inciso p) (OP)'!AN395</f>
        <v>43307</v>
      </c>
      <c r="Y733" s="7" t="s">
        <v>331</v>
      </c>
      <c r="Z733" s="7" t="s">
        <v>332</v>
      </c>
      <c r="AA733" s="7" t="s">
        <v>116</v>
      </c>
      <c r="AB733" s="21" t="s">
        <v>2503</v>
      </c>
      <c r="AC733" s="6" t="s">
        <v>2438</v>
      </c>
      <c r="AD733" s="6"/>
    </row>
    <row r="734" spans="1:30" ht="69.95" customHeight="1">
      <c r="A734" s="16"/>
      <c r="B734" s="7">
        <v>2018</v>
      </c>
      <c r="C734" s="6" t="s">
        <v>62</v>
      </c>
      <c r="D734" s="6" t="s">
        <v>1596</v>
      </c>
      <c r="E734" s="10">
        <v>43161</v>
      </c>
      <c r="F734" s="6" t="s">
        <v>1686</v>
      </c>
      <c r="G734" s="6" t="s">
        <v>63</v>
      </c>
      <c r="H734" s="25">
        <v>1798506.89</v>
      </c>
      <c r="I734" s="6" t="s">
        <v>1317</v>
      </c>
      <c r="J734" s="6" t="s">
        <v>1687</v>
      </c>
      <c r="K734" s="6" t="s">
        <v>1688</v>
      </c>
      <c r="L734" s="6" t="s">
        <v>1689</v>
      </c>
      <c r="M734" s="6" t="s">
        <v>1690</v>
      </c>
      <c r="N734" s="6" t="s">
        <v>1691</v>
      </c>
      <c r="O734" s="11">
        <v>1798506.89</v>
      </c>
      <c r="P734" s="11">
        <v>1798506.8800000001</v>
      </c>
      <c r="Q734" s="19" t="s">
        <v>1685</v>
      </c>
      <c r="R734" s="15">
        <v>69173.341923076921</v>
      </c>
      <c r="S734" s="7" t="s">
        <v>41</v>
      </c>
      <c r="T734" s="12" t="s">
        <v>121</v>
      </c>
      <c r="U734" s="13" t="s">
        <v>42</v>
      </c>
      <c r="V734" s="43" t="s">
        <v>43</v>
      </c>
      <c r="W734" s="10">
        <v>43165</v>
      </c>
      <c r="X734" s="10">
        <v>43250</v>
      </c>
      <c r="Y734" s="7" t="s">
        <v>680</v>
      </c>
      <c r="Z734" s="7" t="s">
        <v>681</v>
      </c>
      <c r="AA734" s="7" t="s">
        <v>132</v>
      </c>
      <c r="AB734" s="21" t="s">
        <v>2792</v>
      </c>
      <c r="AC734" s="6" t="s">
        <v>2438</v>
      </c>
      <c r="AD734" s="6"/>
    </row>
    <row r="735" spans="1:30" ht="69.95" customHeight="1">
      <c r="A735" s="16">
        <v>102</v>
      </c>
      <c r="B735" s="7">
        <v>2018</v>
      </c>
      <c r="C735" s="6" t="str">
        <f>'[1]V, inciso p) (OP)'!B396</f>
        <v>Invitación a Cuando Menos Tres Personas</v>
      </c>
      <c r="D735" s="6" t="str">
        <f>'[1]V, inciso p) (OP)'!D396</f>
        <v>DOPI-FED-PR-PAV-CI-102-2018</v>
      </c>
      <c r="E735" s="10">
        <f>'[1]V, inciso p) (OP)'!AD396</f>
        <v>43248</v>
      </c>
      <c r="F735" s="6" t="str">
        <f>'[1]V, inciso p) (OP)'!AL396</f>
        <v>Construcción de la calle 5 de Mayo con concreto hidráulico entre la calle Juárez y Francisco I. Madero, en la Delegación de Santa Ana Tepetitlan, municipio de Zapopan, Jalisco.</v>
      </c>
      <c r="G735" s="6" t="s">
        <v>3335</v>
      </c>
      <c r="H735" s="25">
        <v>4752960.92</v>
      </c>
      <c r="I735" s="6" t="str">
        <f>'[1]V, inciso p) (OP)'!AS396</f>
        <v>Localidad de Santa Ana Tepetitlán</v>
      </c>
      <c r="J735" s="6" t="str">
        <f>'[1]V, inciso p) (OP)'!T396</f>
        <v>CARLOS</v>
      </c>
      <c r="K735" s="6" t="str">
        <f>'[1]V, inciso p) (OP)'!U396</f>
        <v>DEL RIO</v>
      </c>
      <c r="L735" s="6" t="str">
        <f>'[1]V, inciso p) (OP)'!V396</f>
        <v>MADRIGAL</v>
      </c>
      <c r="M735" s="6" t="s">
        <v>3268</v>
      </c>
      <c r="N735" s="6" t="str">
        <f>'[1]V, inciso p) (OP)'!X396</f>
        <v>PIU790912MS1</v>
      </c>
      <c r="O735" s="11">
        <f t="shared" ref="O735:O774" si="23">H735</f>
        <v>4752960.92</v>
      </c>
      <c r="P735" s="11">
        <v>4746635.9600000009</v>
      </c>
      <c r="Q735" s="19" t="s">
        <v>1252</v>
      </c>
      <c r="R735" s="15">
        <f>O735/1955</f>
        <v>2431.1820562659846</v>
      </c>
      <c r="S735" s="7" t="s">
        <v>41</v>
      </c>
      <c r="T735" s="12">
        <v>3598</v>
      </c>
      <c r="U735" s="13" t="s">
        <v>42</v>
      </c>
      <c r="V735" s="7" t="s">
        <v>43</v>
      </c>
      <c r="W735" s="10">
        <f>'[1]V, inciso p) (OP)'!AM396</f>
        <v>43248</v>
      </c>
      <c r="X735" s="10">
        <f>'[1]V, inciso p) (OP)'!AN396</f>
        <v>43347</v>
      </c>
      <c r="Y735" s="7" t="s">
        <v>722</v>
      </c>
      <c r="Z735" s="7" t="s">
        <v>231</v>
      </c>
      <c r="AA735" s="7" t="s">
        <v>143</v>
      </c>
      <c r="AB735" s="21" t="s">
        <v>2278</v>
      </c>
      <c r="AC735" s="6" t="s">
        <v>2438</v>
      </c>
      <c r="AD735" s="6"/>
    </row>
    <row r="736" spans="1:30" ht="69.95" customHeight="1">
      <c r="A736" s="16">
        <v>103</v>
      </c>
      <c r="B736" s="7">
        <v>2018</v>
      </c>
      <c r="C736" s="7" t="s">
        <v>62</v>
      </c>
      <c r="D736" s="6" t="str">
        <f>'[1]V, inciso o) (OP)'!C351</f>
        <v>DOPI-MUN-RM-SERV-AD-103-2018</v>
      </c>
      <c r="E736" s="10">
        <f>'[1]V, inciso o) (OP)'!V351</f>
        <v>43178</v>
      </c>
      <c r="F736" s="6" t="str">
        <f>'[1]V, inciso o) (OP)'!AA351</f>
        <v>Diagnóstico, diseño y proyectos de infraestructura eléctrica para obras de ramo 33, municipio de Zapopan, Jalisco, frente 1.</v>
      </c>
      <c r="G736" s="6" t="s">
        <v>3341</v>
      </c>
      <c r="H736" s="25">
        <v>300125.36</v>
      </c>
      <c r="I736" s="6" t="s">
        <v>1317</v>
      </c>
      <c r="J736" s="6" t="str">
        <f>'[1]V, inciso o) (OP)'!M351</f>
        <v>ARMANDO</v>
      </c>
      <c r="K736" s="6" t="str">
        <f>'[1]V, inciso o) (OP)'!N351</f>
        <v>ARROYO</v>
      </c>
      <c r="L736" s="6" t="str">
        <f>'[1]V, inciso o) (OP)'!O351</f>
        <v>ZEPEDA</v>
      </c>
      <c r="M736" s="6" t="s">
        <v>3269</v>
      </c>
      <c r="N736" s="6" t="str">
        <f>'[1]V, inciso o) (OP)'!Q351</f>
        <v>CEI000807E95</v>
      </c>
      <c r="O736" s="11">
        <f t="shared" si="23"/>
        <v>300125.36</v>
      </c>
      <c r="P736" s="11">
        <v>300125.36</v>
      </c>
      <c r="Q736" s="14" t="s">
        <v>1253</v>
      </c>
      <c r="R736" s="15">
        <f>H736/6</f>
        <v>50020.893333333333</v>
      </c>
      <c r="S736" s="7" t="s">
        <v>121</v>
      </c>
      <c r="T736" s="12" t="s">
        <v>121</v>
      </c>
      <c r="U736" s="13" t="s">
        <v>42</v>
      </c>
      <c r="V736" s="7" t="s">
        <v>43</v>
      </c>
      <c r="W736" s="10">
        <f>'[1]V, inciso o) (OP)'!AD351</f>
        <v>43178</v>
      </c>
      <c r="X736" s="10">
        <f>'[1]V, inciso o) (OP)'!AE351</f>
        <v>43251</v>
      </c>
      <c r="Y736" s="7" t="s">
        <v>462</v>
      </c>
      <c r="Z736" s="7" t="s">
        <v>310</v>
      </c>
      <c r="AA736" s="7" t="s">
        <v>130</v>
      </c>
      <c r="AB736" s="21" t="s">
        <v>2810</v>
      </c>
      <c r="AC736" s="6" t="s">
        <v>2438</v>
      </c>
      <c r="AD736" s="6"/>
    </row>
    <row r="737" spans="1:30" ht="69.95" customHeight="1">
      <c r="A737" s="16">
        <v>104</v>
      </c>
      <c r="B737" s="7">
        <v>2018</v>
      </c>
      <c r="C737" s="6" t="str">
        <f>'[1]V, inciso p) (OP)'!B397</f>
        <v>Licitación por Invitación Restringida</v>
      </c>
      <c r="D737" s="6" t="str">
        <f>'[1]V, inciso p) (OP)'!D397</f>
        <v>DOPI-MUN-RM-BACHEO-CI-104-2018</v>
      </c>
      <c r="E737" s="10">
        <f>'[1]V, inciso p) (OP)'!AD397</f>
        <v>43248</v>
      </c>
      <c r="F737" s="6" t="str">
        <f>'[1]V, inciso p) (OP)'!AL397</f>
        <v>Programa municipal de bacheo superficial aislado y nivelación con mezcla asfaltíca en caliente en vialidades, Zona Sur, frente 1, municipio de Zapopan, Jalisco.</v>
      </c>
      <c r="G737" s="6" t="s">
        <v>63</v>
      </c>
      <c r="H737" s="25">
        <v>2888233.8</v>
      </c>
      <c r="I737" s="6" t="s">
        <v>1317</v>
      </c>
      <c r="J737" s="6" t="str">
        <f>'[1]V, inciso p) (OP)'!T397</f>
        <v>ÁNGEL SALOMÓN</v>
      </c>
      <c r="K737" s="6" t="str">
        <f>'[1]V, inciso p) (OP)'!U397</f>
        <v>RINCÓN</v>
      </c>
      <c r="L737" s="6" t="str">
        <f>'[1]V, inciso p) (OP)'!V397</f>
        <v>DE LA ROSA</v>
      </c>
      <c r="M737" s="6" t="s">
        <v>3167</v>
      </c>
      <c r="N737" s="6" t="str">
        <f>'[1]V, inciso p) (OP)'!X397</f>
        <v>AAR120507VA9</v>
      </c>
      <c r="O737" s="11">
        <f t="shared" si="23"/>
        <v>2888233.8</v>
      </c>
      <c r="P737" s="11">
        <v>2888232.05</v>
      </c>
      <c r="Q737" s="19" t="s">
        <v>1254</v>
      </c>
      <c r="R737" s="15">
        <f>O737/367</f>
        <v>7869.8468664850134</v>
      </c>
      <c r="S737" s="7" t="s">
        <v>41</v>
      </c>
      <c r="T737" s="12">
        <v>1332272</v>
      </c>
      <c r="U737" s="13" t="s">
        <v>42</v>
      </c>
      <c r="V737" s="7" t="s">
        <v>43</v>
      </c>
      <c r="W737" s="10">
        <f>'[1]V, inciso p) (OP)'!AM397</f>
        <v>43248</v>
      </c>
      <c r="X737" s="10">
        <f>'[1]V, inciso p) (OP)'!AN397</f>
        <v>43297</v>
      </c>
      <c r="Y737" s="7" t="s">
        <v>521</v>
      </c>
      <c r="Z737" s="7" t="s">
        <v>522</v>
      </c>
      <c r="AA737" s="7" t="s">
        <v>523</v>
      </c>
      <c r="AB737" s="21" t="s">
        <v>2279</v>
      </c>
      <c r="AC737" s="6" t="s">
        <v>2438</v>
      </c>
      <c r="AD737" s="6"/>
    </row>
    <row r="738" spans="1:30" ht="69.95" customHeight="1">
      <c r="A738" s="16">
        <v>105</v>
      </c>
      <c r="B738" s="7">
        <v>2018</v>
      </c>
      <c r="C738" s="6" t="str">
        <f>'[1]V, inciso p) (OP)'!B398</f>
        <v>Licitación por Invitación Restringida</v>
      </c>
      <c r="D738" s="6" t="str">
        <f>'[1]V, inciso p) (OP)'!D398</f>
        <v>DOPI-MUN-RM-CALAFATEO-CI-105-2018</v>
      </c>
      <c r="E738" s="10">
        <f>'[1]V, inciso p) (OP)'!AD398</f>
        <v>43248</v>
      </c>
      <c r="F738" s="6" t="str">
        <f>'[1]V, inciso p) (OP)'!AL398</f>
        <v>Programa municipal de calafateo en juntas y grietas de pavimentos hidráulicos con sellador asfaltico en vialidades, Zona Sur, frente 1, municipio de Zapopan, Jalisco.</v>
      </c>
      <c r="G738" s="6" t="s">
        <v>63</v>
      </c>
      <c r="H738" s="25">
        <v>2165155.7799999998</v>
      </c>
      <c r="I738" s="6" t="s">
        <v>1317</v>
      </c>
      <c r="J738" s="6" t="str">
        <f>'[1]V, inciso p) (OP)'!T398</f>
        <v xml:space="preserve">ARTURO </v>
      </c>
      <c r="K738" s="6" t="str">
        <f>'[1]V, inciso p) (OP)'!U398</f>
        <v>MONTUFAR</v>
      </c>
      <c r="L738" s="6" t="str">
        <f>'[1]V, inciso p) (OP)'!V398</f>
        <v>NUÑEZ</v>
      </c>
      <c r="M738" s="6" t="s">
        <v>3201</v>
      </c>
      <c r="N738" s="6" t="str">
        <f>'[1]V, inciso p) (OP)'!X398</f>
        <v>VPC0012148K0</v>
      </c>
      <c r="O738" s="11">
        <f t="shared" si="23"/>
        <v>2165155.7799999998</v>
      </c>
      <c r="P738" s="11">
        <v>2152594.36</v>
      </c>
      <c r="Q738" s="19" t="s">
        <v>1255</v>
      </c>
      <c r="R738" s="15">
        <f>O738/46662</f>
        <v>46.400835369251205</v>
      </c>
      <c r="S738" s="7" t="s">
        <v>41</v>
      </c>
      <c r="T738" s="12">
        <v>1332272</v>
      </c>
      <c r="U738" s="13" t="s">
        <v>42</v>
      </c>
      <c r="V738" s="7" t="s">
        <v>43</v>
      </c>
      <c r="W738" s="10">
        <f>'[1]V, inciso p) (OP)'!AM398</f>
        <v>43248</v>
      </c>
      <c r="X738" s="10">
        <f>'[1]V, inciso p) (OP)'!AN398</f>
        <v>43297</v>
      </c>
      <c r="Y738" s="7" t="s">
        <v>521</v>
      </c>
      <c r="Z738" s="7" t="s">
        <v>522</v>
      </c>
      <c r="AA738" s="7" t="s">
        <v>523</v>
      </c>
      <c r="AB738" s="21" t="s">
        <v>2504</v>
      </c>
      <c r="AC738" s="6" t="s">
        <v>2438</v>
      </c>
      <c r="AD738" s="6"/>
    </row>
    <row r="739" spans="1:30" ht="69.95" customHeight="1">
      <c r="A739" s="16">
        <v>106</v>
      </c>
      <c r="B739" s="7">
        <v>2018</v>
      </c>
      <c r="C739" s="7" t="s">
        <v>62</v>
      </c>
      <c r="D739" s="6" t="str">
        <f>'[1]V, inciso o) (OP)'!C352</f>
        <v>DOPI-MUN-RM-MOV-AD-106-2018</v>
      </c>
      <c r="E739" s="10">
        <f>'[1]V, inciso o) (OP)'!V352</f>
        <v>43234</v>
      </c>
      <c r="F739" s="6" t="str">
        <f>'[1]V, inciso o) (OP)'!AA352</f>
        <v>Señalización vertical, horizontal y servicios complementarios en la Lateral Poniente de Periférico de Prolongación Av. Central Guillermo González Camarena a calle 5 de Mayo, municipio de Zapopan, Jalisco.</v>
      </c>
      <c r="G739" s="6" t="s">
        <v>63</v>
      </c>
      <c r="H739" s="25">
        <v>1126498.8600000001</v>
      </c>
      <c r="I739" s="6" t="s">
        <v>153</v>
      </c>
      <c r="J739" s="6" t="str">
        <f>'[1]V, inciso o) (OP)'!M352</f>
        <v>ANDRÉS EDUARDO</v>
      </c>
      <c r="K739" s="6" t="str">
        <f>'[1]V, inciso o) (OP)'!N352</f>
        <v>ACEVES</v>
      </c>
      <c r="L739" s="6" t="str">
        <f>'[1]V, inciso o) (OP)'!O352</f>
        <v>CASTAÑEDA</v>
      </c>
      <c r="M739" s="6" t="s">
        <v>1880</v>
      </c>
      <c r="N739" s="6" t="str">
        <f>'[1]V, inciso o) (OP)'!Q352</f>
        <v>SCO100609EVA</v>
      </c>
      <c r="O739" s="11">
        <f t="shared" si="23"/>
        <v>1126498.8600000001</v>
      </c>
      <c r="P739" s="11">
        <v>1126498.79</v>
      </c>
      <c r="Q739" s="14" t="s">
        <v>1256</v>
      </c>
      <c r="R739" s="15">
        <f>H739/1240</f>
        <v>908.46682258064527</v>
      </c>
      <c r="S739" s="7" t="s">
        <v>41</v>
      </c>
      <c r="T739" s="12">
        <v>1332272</v>
      </c>
      <c r="U739" s="13" t="s">
        <v>42</v>
      </c>
      <c r="V739" s="7" t="s">
        <v>43</v>
      </c>
      <c r="W739" s="10">
        <f>'[1]V, inciso o) (OP)'!AD352</f>
        <v>43235</v>
      </c>
      <c r="X739" s="10">
        <f>'[1]V, inciso o) (OP)'!AE352</f>
        <v>43277</v>
      </c>
      <c r="Y739" s="7" t="s">
        <v>680</v>
      </c>
      <c r="Z739" s="7" t="s">
        <v>681</v>
      </c>
      <c r="AA739" s="7" t="s">
        <v>132</v>
      </c>
      <c r="AB739" s="21" t="s">
        <v>2358</v>
      </c>
      <c r="AC739" s="6" t="s">
        <v>2438</v>
      </c>
      <c r="AD739" s="6"/>
    </row>
    <row r="740" spans="1:30" ht="69.95" customHeight="1">
      <c r="A740" s="16">
        <v>107</v>
      </c>
      <c r="B740" s="7">
        <v>2018</v>
      </c>
      <c r="C740" s="7" t="s">
        <v>62</v>
      </c>
      <c r="D740" s="6" t="str">
        <f>'[1]V, inciso o) (OP)'!C353</f>
        <v>DOPI-MUN-RM-IM-AD-107-2018</v>
      </c>
      <c r="E740" s="10">
        <f>'[1]V, inciso o) (OP)'!V353</f>
        <v>43203</v>
      </c>
      <c r="F740" s="6" t="str">
        <f>'[1]V, inciso o) (OP)'!AA353</f>
        <v>Rehabilitación de módulo de oficinas y aulas para academias municipales, ubicado en Av. Tabachines en su cruce con Periférico Norte, municipio de Zapopan, Jalisco.</v>
      </c>
      <c r="G740" s="6" t="s">
        <v>63</v>
      </c>
      <c r="H740" s="25">
        <v>435785.44</v>
      </c>
      <c r="I740" s="6" t="s">
        <v>1099</v>
      </c>
      <c r="J740" s="6" t="str">
        <f>'[1]V, inciso o) (OP)'!M353</f>
        <v xml:space="preserve">ARTURO </v>
      </c>
      <c r="K740" s="6" t="str">
        <f>'[1]V, inciso o) (OP)'!N353</f>
        <v>DISTANCIA</v>
      </c>
      <c r="L740" s="6" t="str">
        <f>'[1]V, inciso o) (OP)'!O353</f>
        <v>SÁNCHEZ</v>
      </c>
      <c r="M740" s="6" t="s">
        <v>3098</v>
      </c>
      <c r="N740" s="6" t="str">
        <f>'[1]V, inciso o) (OP)'!Q353</f>
        <v>JCO160413SK4</v>
      </c>
      <c r="O740" s="11">
        <f t="shared" si="23"/>
        <v>435785.44</v>
      </c>
      <c r="P740" s="11">
        <v>435785.44</v>
      </c>
      <c r="Q740" s="14" t="s">
        <v>1257</v>
      </c>
      <c r="R740" s="15">
        <f>H740/105</f>
        <v>4150.3375238095241</v>
      </c>
      <c r="S740" s="7" t="s">
        <v>41</v>
      </c>
      <c r="T740" s="12">
        <v>453</v>
      </c>
      <c r="U740" s="13" t="s">
        <v>42</v>
      </c>
      <c r="V740" s="7" t="s">
        <v>43</v>
      </c>
      <c r="W740" s="10">
        <f>'[1]V, inciso o) (OP)'!AD353</f>
        <v>43206</v>
      </c>
      <c r="X740" s="10">
        <f>'[1]V, inciso o) (OP)'!AE353</f>
        <v>43251</v>
      </c>
      <c r="Y740" s="7" t="s">
        <v>402</v>
      </c>
      <c r="Z740" s="7" t="s">
        <v>403</v>
      </c>
      <c r="AA740" s="7" t="s">
        <v>104</v>
      </c>
      <c r="AB740" s="21" t="s">
        <v>2359</v>
      </c>
      <c r="AC740" s="6" t="s">
        <v>2438</v>
      </c>
      <c r="AD740" s="6"/>
    </row>
    <row r="741" spans="1:30" ht="69.95" customHeight="1">
      <c r="A741" s="16">
        <v>108</v>
      </c>
      <c r="B741" s="7">
        <v>2018</v>
      </c>
      <c r="C741" s="7" t="s">
        <v>62</v>
      </c>
      <c r="D741" s="6" t="str">
        <f>'[1]V, inciso o) (OP)'!C354</f>
        <v>DOPI-MUN-RM-PAV-AD-108-2018</v>
      </c>
      <c r="E741" s="10">
        <f>'[1]V, inciso o) (OP)'!V354</f>
        <v>43175</v>
      </c>
      <c r="F741" s="6" t="str">
        <f>'[1]V, inciso o) (OP)'!AA354</f>
        <v>Construcción de pavimento de concreto hidráulico, incluye: guarniciones, banquetas, accesibilidad y servicios complementarios en la calle Nueva Orleans de Lituania a Av. Juan Gil Preciado, colonia Juan Gil Preciado, municipio de Zapopan, Jalisco.</v>
      </c>
      <c r="G741" s="6" t="s">
        <v>63</v>
      </c>
      <c r="H741" s="25">
        <v>1673532.2</v>
      </c>
      <c r="I741" s="6" t="s">
        <v>1258</v>
      </c>
      <c r="J741" s="6" t="str">
        <f>'[1]V, inciso o) (OP)'!M354</f>
        <v>CARLOS</v>
      </c>
      <c r="K741" s="6" t="str">
        <f>'[1]V, inciso o) (OP)'!N354</f>
        <v>PÉREZ</v>
      </c>
      <c r="L741" s="6" t="str">
        <f>'[1]V, inciso o) (OP)'!O354</f>
        <v>CRUZ</v>
      </c>
      <c r="M741" s="6" t="s">
        <v>1965</v>
      </c>
      <c r="N741" s="6" t="str">
        <f>'[1]V, inciso o) (OP)'!Q354</f>
        <v>CPE070123PD4</v>
      </c>
      <c r="O741" s="11">
        <f t="shared" si="23"/>
        <v>1673532.2</v>
      </c>
      <c r="P741" s="11">
        <v>1659735.68</v>
      </c>
      <c r="Q741" s="14" t="s">
        <v>1259</v>
      </c>
      <c r="R741" s="15">
        <f>H741/838</f>
        <v>1997.0551312649163</v>
      </c>
      <c r="S741" s="7" t="s">
        <v>41</v>
      </c>
      <c r="T741" s="12">
        <v>469</v>
      </c>
      <c r="U741" s="13" t="s">
        <v>42</v>
      </c>
      <c r="V741" s="7" t="s">
        <v>43</v>
      </c>
      <c r="W741" s="10">
        <f>'[1]V, inciso o) (OP)'!AD354</f>
        <v>43178</v>
      </c>
      <c r="X741" s="10">
        <f>'[1]V, inciso o) (OP)'!AE354</f>
        <v>43251</v>
      </c>
      <c r="Y741" s="7" t="s">
        <v>402</v>
      </c>
      <c r="Z741" s="7" t="s">
        <v>403</v>
      </c>
      <c r="AA741" s="7" t="s">
        <v>104</v>
      </c>
      <c r="AB741" s="21" t="s">
        <v>2360</v>
      </c>
      <c r="AC741" s="6" t="s">
        <v>2438</v>
      </c>
      <c r="AD741" s="6"/>
    </row>
    <row r="742" spans="1:30" ht="69.95" customHeight="1">
      <c r="A742" s="16">
        <v>109</v>
      </c>
      <c r="B742" s="7">
        <v>2018</v>
      </c>
      <c r="C742" s="7" t="s">
        <v>62</v>
      </c>
      <c r="D742" s="6" t="str">
        <f>'[1]V, inciso o) (OP)'!C355</f>
        <v>DOPI-MUN-RM-IM-AD-109-2018</v>
      </c>
      <c r="E742" s="10">
        <f>'[1]V, inciso o) (OP)'!V355</f>
        <v>43187</v>
      </c>
      <c r="F742" s="6" t="str">
        <f>'[1]V, inciso o) (OP)'!AA355</f>
        <v>Estructura con lonaria en cancha de basketball en la Unidad Deportiva República, ubicada en la colonia Centro, municipio de Zapopan, Jalisco.</v>
      </c>
      <c r="G742" s="6" t="s">
        <v>63</v>
      </c>
      <c r="H742" s="25">
        <v>1796254.78</v>
      </c>
      <c r="I742" s="6" t="s">
        <v>117</v>
      </c>
      <c r="J742" s="6" t="str">
        <f>'[1]V, inciso o) (OP)'!M355</f>
        <v xml:space="preserve">J. JESÚS </v>
      </c>
      <c r="K742" s="6" t="str">
        <f>'[1]V, inciso o) (OP)'!N355</f>
        <v>CÁRDENAS</v>
      </c>
      <c r="L742" s="6" t="str">
        <f>'[1]V, inciso o) (OP)'!O355</f>
        <v>SILVA</v>
      </c>
      <c r="M742" s="6" t="s">
        <v>2064</v>
      </c>
      <c r="N742" s="6" t="str">
        <f>'[1]V, inciso o) (OP)'!Q355</f>
        <v>SKC171027PH6</v>
      </c>
      <c r="O742" s="11">
        <f t="shared" si="23"/>
        <v>1796254.78</v>
      </c>
      <c r="P742" s="11">
        <v>1758976.64</v>
      </c>
      <c r="Q742" s="14" t="s">
        <v>1260</v>
      </c>
      <c r="R742" s="15">
        <f>H742/612</f>
        <v>2935.0568300653595</v>
      </c>
      <c r="S742" s="7" t="s">
        <v>41</v>
      </c>
      <c r="T742" s="12">
        <v>2698</v>
      </c>
      <c r="U742" s="13" t="s">
        <v>42</v>
      </c>
      <c r="V742" s="7" t="s">
        <v>43</v>
      </c>
      <c r="W742" s="10">
        <f>'[1]V, inciso o) (OP)'!AD355</f>
        <v>43192</v>
      </c>
      <c r="X742" s="10">
        <f>'[1]V, inciso o) (OP)'!AE355</f>
        <v>43235</v>
      </c>
      <c r="Y742" s="7" t="s">
        <v>496</v>
      </c>
      <c r="Z742" s="7" t="s">
        <v>497</v>
      </c>
      <c r="AA742" s="7" t="s">
        <v>370</v>
      </c>
      <c r="AB742" s="21" t="s">
        <v>2361</v>
      </c>
      <c r="AC742" s="6" t="s">
        <v>2438</v>
      </c>
      <c r="AD742" s="6"/>
    </row>
    <row r="743" spans="1:30" ht="69.95" customHeight="1">
      <c r="A743" s="16">
        <v>110</v>
      </c>
      <c r="B743" s="7">
        <v>2018</v>
      </c>
      <c r="C743" s="7" t="s">
        <v>62</v>
      </c>
      <c r="D743" s="6" t="str">
        <f>'[1]V, inciso o) (OP)'!C356</f>
        <v>DOPI-MUN-RM-PROY-AD-110-2018</v>
      </c>
      <c r="E743" s="10">
        <f>'[1]V, inciso o) (OP)'!V356</f>
        <v>43187</v>
      </c>
      <c r="F743" s="6" t="str">
        <f>'[1]V, inciso o) (OP)'!AA356</f>
        <v>Diagnóstico, diseño y proyectos estructurales de diferentes elementos del programa 2018 primera etapa, municipio de Zapopan, Jalisco.</v>
      </c>
      <c r="G743" s="6" t="s">
        <v>63</v>
      </c>
      <c r="H743" s="25">
        <v>1205254.78</v>
      </c>
      <c r="I743" s="6" t="s">
        <v>1317</v>
      </c>
      <c r="J743" s="6" t="str">
        <f>'[1]V, inciso o) (OP)'!M356</f>
        <v>RICARDO</v>
      </c>
      <c r="K743" s="6" t="str">
        <f>'[1]V, inciso o) (OP)'!N356</f>
        <v>HARO</v>
      </c>
      <c r="L743" s="6" t="str">
        <f>'[1]V, inciso o) (OP)'!O356</f>
        <v>BUGARIN</v>
      </c>
      <c r="M743" s="6" t="s">
        <v>3217</v>
      </c>
      <c r="N743" s="6" t="str">
        <f>'[1]V, inciso o) (OP)'!Q356</f>
        <v>CED030514T47</v>
      </c>
      <c r="O743" s="11">
        <f t="shared" si="23"/>
        <v>1205254.78</v>
      </c>
      <c r="P743" s="11">
        <v>1198289.25</v>
      </c>
      <c r="Q743" s="14" t="s">
        <v>611</v>
      </c>
      <c r="R743" s="15">
        <f>H743</f>
        <v>1205254.78</v>
      </c>
      <c r="S743" s="7" t="s">
        <v>121</v>
      </c>
      <c r="T743" s="12" t="s">
        <v>121</v>
      </c>
      <c r="U743" s="13" t="s">
        <v>42</v>
      </c>
      <c r="V743" s="43" t="s">
        <v>43</v>
      </c>
      <c r="W743" s="10">
        <f>'[1]V, inciso o) (OP)'!AD356</f>
        <v>43192</v>
      </c>
      <c r="X743" s="10">
        <f>'[1]V, inciso o) (OP)'!AE356</f>
        <v>43312</v>
      </c>
      <c r="Y743" s="7" t="s">
        <v>429</v>
      </c>
      <c r="Z743" s="7" t="s">
        <v>290</v>
      </c>
      <c r="AA743" s="7" t="s">
        <v>73</v>
      </c>
      <c r="AB743" s="21" t="s">
        <v>2362</v>
      </c>
      <c r="AC743" s="6" t="s">
        <v>2438</v>
      </c>
      <c r="AD743" s="6"/>
    </row>
    <row r="744" spans="1:30" ht="69.95" customHeight="1">
      <c r="A744" s="16">
        <v>111</v>
      </c>
      <c r="B744" s="7">
        <v>2018</v>
      </c>
      <c r="C744" s="7" t="s">
        <v>62</v>
      </c>
      <c r="D744" s="6" t="str">
        <f>'[1]V, inciso o) (OP)'!C357</f>
        <v>DOPI-MUN-RM-SERV-AD-111-2018</v>
      </c>
      <c r="E744" s="10">
        <f>'[1]V, inciso o) (OP)'!V357</f>
        <v>43175</v>
      </c>
      <c r="F744" s="6" t="str">
        <f>'[1]V, inciso o) (OP)'!AA357</f>
        <v>Control de calidad de diferentes obras 2018 del municipio de Zapopan, Jalisco, frente 1.</v>
      </c>
      <c r="G744" s="6" t="s">
        <v>63</v>
      </c>
      <c r="H744" s="25">
        <v>1315420.48</v>
      </c>
      <c r="I744" s="6" t="s">
        <v>1317</v>
      </c>
      <c r="J744" s="6" t="str">
        <f>'[1]V, inciso o) (OP)'!M357</f>
        <v>RICARDO</v>
      </c>
      <c r="K744" s="6" t="str">
        <f>'[1]V, inciso o) (OP)'!N357</f>
        <v>MEZA</v>
      </c>
      <c r="L744" s="6" t="str">
        <f>'[1]V, inciso o) (OP)'!O357</f>
        <v>PONCE</v>
      </c>
      <c r="M744" s="6" t="s">
        <v>1914</v>
      </c>
      <c r="N744" s="6" t="str">
        <f>'[1]V, inciso o) (OP)'!Q357</f>
        <v>CCM1405243C4</v>
      </c>
      <c r="O744" s="11">
        <f t="shared" si="23"/>
        <v>1315420.48</v>
      </c>
      <c r="P744" s="11">
        <f>O744</f>
        <v>1315420.48</v>
      </c>
      <c r="Q744" s="14" t="s">
        <v>611</v>
      </c>
      <c r="R744" s="15">
        <f>H744</f>
        <v>1315420.48</v>
      </c>
      <c r="S744" s="7" t="s">
        <v>121</v>
      </c>
      <c r="T744" s="12" t="s">
        <v>121</v>
      </c>
      <c r="U744" s="13" t="s">
        <v>42</v>
      </c>
      <c r="V744" s="7" t="s">
        <v>373</v>
      </c>
      <c r="W744" s="10">
        <f>'[1]V, inciso o) (OP)'!AD357</f>
        <v>43178</v>
      </c>
      <c r="X744" s="10">
        <f>'[1]V, inciso o) (OP)'!AE357</f>
        <v>43343</v>
      </c>
      <c r="Y744" s="7" t="s">
        <v>859</v>
      </c>
      <c r="Z744" s="7" t="s">
        <v>860</v>
      </c>
      <c r="AA744" s="7" t="s">
        <v>861</v>
      </c>
      <c r="AB744" s="21" t="s">
        <v>2363</v>
      </c>
      <c r="AC744" s="6" t="s">
        <v>2438</v>
      </c>
      <c r="AD744" s="6"/>
    </row>
    <row r="745" spans="1:30" ht="69.95" customHeight="1">
      <c r="A745" s="16">
        <v>112</v>
      </c>
      <c r="B745" s="7">
        <v>2018</v>
      </c>
      <c r="C745" s="7" t="s">
        <v>62</v>
      </c>
      <c r="D745" s="6" t="str">
        <f>'[1]V, inciso o) (OP)'!C358</f>
        <v>DOPI-MUN-RM-SERV-AD-112-2018</v>
      </c>
      <c r="E745" s="10">
        <f>'[1]V, inciso o) (OP)'!V358</f>
        <v>43175</v>
      </c>
      <c r="F745" s="6" t="str">
        <f>'[1]V, inciso o) (OP)'!AA358</f>
        <v>Control de calidad de diferentes obras 2018 del municipio de Zapopan, Jalisco, frente 2.</v>
      </c>
      <c r="G745" s="6" t="s">
        <v>63</v>
      </c>
      <c r="H745" s="25">
        <v>1225478.6399999999</v>
      </c>
      <c r="I745" s="6" t="s">
        <v>1317</v>
      </c>
      <c r="J745" s="6" t="str">
        <f>'[1]V, inciso o) (OP)'!M358</f>
        <v>JOSÉ ALEJANDRO</v>
      </c>
      <c r="K745" s="6" t="str">
        <f>'[1]V, inciso o) (OP)'!N358</f>
        <v>ALVA</v>
      </c>
      <c r="L745" s="6" t="str">
        <f>'[1]V, inciso o) (OP)'!O358</f>
        <v>DELGADO</v>
      </c>
      <c r="M745" s="6" t="s">
        <v>3138</v>
      </c>
      <c r="N745" s="6" t="str">
        <f>'[1]V, inciso o) (OP)'!Q358</f>
        <v>SOC150806E69</v>
      </c>
      <c r="O745" s="11">
        <f t="shared" si="23"/>
        <v>1225478.6399999999</v>
      </c>
      <c r="P745" s="11">
        <v>1225419.74</v>
      </c>
      <c r="Q745" s="14" t="s">
        <v>611</v>
      </c>
      <c r="R745" s="15">
        <f>H745</f>
        <v>1225478.6399999999</v>
      </c>
      <c r="S745" s="7" t="s">
        <v>121</v>
      </c>
      <c r="T745" s="12" t="s">
        <v>121</v>
      </c>
      <c r="U745" s="13" t="s">
        <v>42</v>
      </c>
      <c r="V745" s="7" t="s">
        <v>43</v>
      </c>
      <c r="W745" s="10">
        <f>'[1]V, inciso o) (OP)'!AD358</f>
        <v>43178</v>
      </c>
      <c r="X745" s="10">
        <f>'[1]V, inciso o) (OP)'!AE358</f>
        <v>43343</v>
      </c>
      <c r="Y745" s="7" t="s">
        <v>1261</v>
      </c>
      <c r="Z745" s="7" t="s">
        <v>715</v>
      </c>
      <c r="AA745" s="7" t="s">
        <v>1262</v>
      </c>
      <c r="AB745" s="21" t="s">
        <v>2364</v>
      </c>
      <c r="AC745" s="6" t="s">
        <v>2438</v>
      </c>
      <c r="AD745" s="6"/>
    </row>
    <row r="746" spans="1:30" ht="69.95" customHeight="1">
      <c r="A746" s="16">
        <v>113</v>
      </c>
      <c r="B746" s="7">
        <v>2018</v>
      </c>
      <c r="C746" s="7" t="s">
        <v>62</v>
      </c>
      <c r="D746" s="6" t="str">
        <f>'[1]V, inciso o) (OP)'!C359</f>
        <v>DOPI-MUN-RM-SERV-AD-113-2018</v>
      </c>
      <c r="E746" s="10">
        <f>'[1]V, inciso o) (OP)'!V359</f>
        <v>43175</v>
      </c>
      <c r="F746" s="6" t="str">
        <f>'[1]V, inciso o) (OP)'!AA359</f>
        <v>Control topográfico en trazo y nivelación de elementos estructurales, urbanisticos para la Construcción del Centro Integral de Servicios del Municipio de Zapopan.</v>
      </c>
      <c r="G746" s="6" t="s">
        <v>63</v>
      </c>
      <c r="H746" s="25">
        <v>850254.36</v>
      </c>
      <c r="I746" s="6" t="s">
        <v>1263</v>
      </c>
      <c r="J746" s="6" t="str">
        <f>'[1]V, inciso o) (OP)'!M359</f>
        <v>RICARDO</v>
      </c>
      <c r="K746" s="6" t="str">
        <f>'[1]V, inciso o) (OP)'!N359</f>
        <v>MEZA</v>
      </c>
      <c r="L746" s="6" t="str">
        <f>'[1]V, inciso o) (OP)'!O359</f>
        <v>PONCE</v>
      </c>
      <c r="M746" s="6" t="s">
        <v>1914</v>
      </c>
      <c r="N746" s="6" t="str">
        <f>'[1]V, inciso o) (OP)'!Q359</f>
        <v>CCM1405243C4</v>
      </c>
      <c r="O746" s="11">
        <f t="shared" si="23"/>
        <v>850254.36</v>
      </c>
      <c r="P746" s="11">
        <f>O746</f>
        <v>850254.36</v>
      </c>
      <c r="Q746" s="14" t="s">
        <v>611</v>
      </c>
      <c r="R746" s="15">
        <f>H746</f>
        <v>850254.36</v>
      </c>
      <c r="S746" s="7" t="s">
        <v>121</v>
      </c>
      <c r="T746" s="12" t="s">
        <v>121</v>
      </c>
      <c r="U746" s="13" t="s">
        <v>42</v>
      </c>
      <c r="V746" s="7" t="s">
        <v>373</v>
      </c>
      <c r="W746" s="10">
        <f>'[1]V, inciso o) (OP)'!AD359</f>
        <v>43178</v>
      </c>
      <c r="X746" s="10">
        <f>'[1]V, inciso o) (OP)'!AE359</f>
        <v>43343</v>
      </c>
      <c r="Y746" s="7" t="s">
        <v>838</v>
      </c>
      <c r="Z746" s="7" t="s">
        <v>447</v>
      </c>
      <c r="AA746" s="7" t="s">
        <v>448</v>
      </c>
      <c r="AB746" s="21" t="s">
        <v>2365</v>
      </c>
      <c r="AC746" s="6" t="s">
        <v>2438</v>
      </c>
      <c r="AD746" s="6"/>
    </row>
    <row r="747" spans="1:30" ht="69.95" customHeight="1">
      <c r="A747" s="16">
        <v>114</v>
      </c>
      <c r="B747" s="7">
        <v>2018</v>
      </c>
      <c r="C747" s="7" t="s">
        <v>62</v>
      </c>
      <c r="D747" s="6" t="str">
        <f>'[1]V, inciso o) (OP)'!C360</f>
        <v>DOPI-MUN-RM-IM-AD-114-2018</v>
      </c>
      <c r="E747" s="10">
        <f>'[1]V, inciso o) (OP)'!V360</f>
        <v>43173</v>
      </c>
      <c r="F747" s="6" t="str">
        <f>'[1]V, inciso o) (OP)'!AA360</f>
        <v>Rehabilitación del Centro Comunitario en la colonia El Colli CTM, municipio de Zapopan, Jalisco, segunda etapa.</v>
      </c>
      <c r="G747" s="6" t="s">
        <v>63</v>
      </c>
      <c r="H747" s="25">
        <v>1798554.26</v>
      </c>
      <c r="I747" s="6" t="s">
        <v>1097</v>
      </c>
      <c r="J747" s="6" t="str">
        <f>'[1]V, inciso o) (OP)'!M360</f>
        <v>ALFREDO</v>
      </c>
      <c r="K747" s="6" t="str">
        <f>'[1]V, inciso o) (OP)'!N360</f>
        <v>FLORES</v>
      </c>
      <c r="L747" s="6" t="str">
        <f>'[1]V, inciso o) (OP)'!O360</f>
        <v>CHÁVEZ</v>
      </c>
      <c r="M747" s="6" t="s">
        <v>3230</v>
      </c>
      <c r="N747" s="6" t="str">
        <f>'[1]V, inciso o) (OP)'!Q360</f>
        <v>FOCA830904HT8</v>
      </c>
      <c r="O747" s="11">
        <f t="shared" si="23"/>
        <v>1798554.26</v>
      </c>
      <c r="P747" s="11">
        <v>1342562.71</v>
      </c>
      <c r="Q747" s="14" t="s">
        <v>1264</v>
      </c>
      <c r="R747" s="15">
        <f>H747/1318</f>
        <v>1364.6086949924127</v>
      </c>
      <c r="S747" s="7" t="s">
        <v>41</v>
      </c>
      <c r="T747" s="12">
        <v>1268</v>
      </c>
      <c r="U747" s="13" t="s">
        <v>42</v>
      </c>
      <c r="V747" s="7" t="s">
        <v>43</v>
      </c>
      <c r="W747" s="10">
        <f>'[1]V, inciso o) (OP)'!AD360</f>
        <v>43174</v>
      </c>
      <c r="X747" s="10">
        <f>'[1]V, inciso o) (OP)'!AE360</f>
        <v>43220</v>
      </c>
      <c r="Y747" s="7" t="s">
        <v>680</v>
      </c>
      <c r="Z747" s="7" t="s">
        <v>681</v>
      </c>
      <c r="AA747" s="7" t="s">
        <v>132</v>
      </c>
      <c r="AB747" s="21" t="s">
        <v>2366</v>
      </c>
      <c r="AC747" s="6" t="s">
        <v>2438</v>
      </c>
      <c r="AD747" s="6"/>
    </row>
    <row r="748" spans="1:30" ht="69.95" customHeight="1">
      <c r="A748" s="16">
        <v>115</v>
      </c>
      <c r="B748" s="7">
        <v>2018</v>
      </c>
      <c r="C748" s="7" t="s">
        <v>62</v>
      </c>
      <c r="D748" s="6" t="str">
        <f>'[1]V, inciso o) (OP)'!C361</f>
        <v>DOPI-MUN-RM-PAV-AD-115-2018</v>
      </c>
      <c r="E748" s="10">
        <f>'[1]V, inciso o) (OP)'!V361</f>
        <v>43187</v>
      </c>
      <c r="F748" s="32" t="str">
        <f>'[1]V, inciso o) (OP)'!AA361</f>
        <v>Pavimentación con concreto hidráulico en la calle Juan García de la calle Casiano Torres a la calle Ignacio Espinoza, colonia Villa de Guadalupe, incluye: drenaje sanitario, agua potable, banquetas, peatonalización, señalamiento y obras complementarias, en el municipio de Zapopan, Jalisco, frente 2.</v>
      </c>
      <c r="G748" s="6" t="s">
        <v>63</v>
      </c>
      <c r="H748" s="25">
        <v>1650234.78</v>
      </c>
      <c r="I748" s="6" t="s">
        <v>308</v>
      </c>
      <c r="J748" s="6" t="str">
        <f>'[1]V, inciso o) (OP)'!M361</f>
        <v>JUAN CARLOS</v>
      </c>
      <c r="K748" s="6" t="str">
        <f>'[1]V, inciso o) (OP)'!N361</f>
        <v>SUAZO</v>
      </c>
      <c r="L748" s="6" t="str">
        <f>'[1]V, inciso o) (OP)'!O361</f>
        <v>HERNÁNDEZ</v>
      </c>
      <c r="M748" s="6" t="s">
        <v>2129</v>
      </c>
      <c r="N748" s="6" t="str">
        <f>'[1]V, inciso o) (OP)'!Q361</f>
        <v>CCO1304181PA</v>
      </c>
      <c r="O748" s="11">
        <f t="shared" si="23"/>
        <v>1650234.78</v>
      </c>
      <c r="P748" s="11">
        <v>1650234.79</v>
      </c>
      <c r="Q748" s="14" t="s">
        <v>1265</v>
      </c>
      <c r="R748" s="15">
        <f>H748/1021.5</f>
        <v>1615.5014977973569</v>
      </c>
      <c r="S748" s="7" t="s">
        <v>41</v>
      </c>
      <c r="T748" s="12">
        <v>452</v>
      </c>
      <c r="U748" s="13" t="s">
        <v>42</v>
      </c>
      <c r="V748" s="43" t="s">
        <v>43</v>
      </c>
      <c r="W748" s="10">
        <f>'[1]V, inciso o) (OP)'!AD361</f>
        <v>43192</v>
      </c>
      <c r="X748" s="10">
        <f>'[1]V, inciso o) (OP)'!AE361</f>
        <v>43235</v>
      </c>
      <c r="Y748" s="7" t="s">
        <v>317</v>
      </c>
      <c r="Z748" s="7" t="s">
        <v>191</v>
      </c>
      <c r="AA748" s="7" t="s">
        <v>192</v>
      </c>
      <c r="AB748" s="21" t="s">
        <v>2367</v>
      </c>
      <c r="AC748" s="6" t="s">
        <v>2438</v>
      </c>
      <c r="AD748" s="6"/>
    </row>
    <row r="749" spans="1:30" ht="69.95" customHeight="1">
      <c r="A749" s="16">
        <v>116</v>
      </c>
      <c r="B749" s="7">
        <v>2018</v>
      </c>
      <c r="C749" s="7" t="s">
        <v>62</v>
      </c>
      <c r="D749" s="6" t="str">
        <f>'[1]V, inciso o) (OP)'!C362</f>
        <v>DOPI-MUN-RM-IH-AD-116-2018</v>
      </c>
      <c r="E749" s="10">
        <f>'[1]V, inciso o) (OP)'!V362</f>
        <v>43187</v>
      </c>
      <c r="F749" s="6" t="str">
        <f>'[1]V, inciso o) (OP)'!AA362</f>
        <v>Construcción de colector pluvial en Boulevard del Rodeo, de la calle Juan Pablo II a calle Escorial, municipio de Zapopan, Jalisco, fente 2.</v>
      </c>
      <c r="G749" s="6" t="s">
        <v>63</v>
      </c>
      <c r="H749" s="25">
        <v>839908.08</v>
      </c>
      <c r="I749" s="6" t="s">
        <v>1266</v>
      </c>
      <c r="J749" s="6" t="str">
        <f>'[1]V, inciso o) (OP)'!M362</f>
        <v>JOSÉ ANTONIO</v>
      </c>
      <c r="K749" s="6" t="str">
        <f>'[1]V, inciso o) (OP)'!N362</f>
        <v>CUEVAS</v>
      </c>
      <c r="L749" s="6" t="str">
        <f>'[1]V, inciso o) (OP)'!O362</f>
        <v>BRISEÑO</v>
      </c>
      <c r="M749" s="6" t="s">
        <v>3270</v>
      </c>
      <c r="N749" s="6" t="str">
        <f>'[1]V, inciso o) (OP)'!Q362</f>
        <v>CUBA5705179V8</v>
      </c>
      <c r="O749" s="11">
        <f t="shared" si="23"/>
        <v>839908.08</v>
      </c>
      <c r="P749" s="11">
        <v>837923.77</v>
      </c>
      <c r="Q749" s="14" t="s">
        <v>1169</v>
      </c>
      <c r="R749" s="15">
        <f>O749/524</f>
        <v>1602.8780152671754</v>
      </c>
      <c r="S749" s="7" t="s">
        <v>41</v>
      </c>
      <c r="T749" s="12">
        <v>1256</v>
      </c>
      <c r="U749" s="13" t="s">
        <v>42</v>
      </c>
      <c r="V749" s="43" t="s">
        <v>43</v>
      </c>
      <c r="W749" s="10">
        <f>'[1]V, inciso o) (OP)'!AD362</f>
        <v>43192</v>
      </c>
      <c r="X749" s="10">
        <f>'[1]V, inciso o) (OP)'!AE362</f>
        <v>43235</v>
      </c>
      <c r="Y749" s="7" t="s">
        <v>838</v>
      </c>
      <c r="Z749" s="7" t="s">
        <v>447</v>
      </c>
      <c r="AA749" s="7" t="s">
        <v>448</v>
      </c>
      <c r="AB749" s="21" t="s">
        <v>2368</v>
      </c>
      <c r="AC749" s="6" t="s">
        <v>2438</v>
      </c>
      <c r="AD749" s="6"/>
    </row>
    <row r="750" spans="1:30" ht="69.95" customHeight="1">
      <c r="A750" s="16">
        <v>117</v>
      </c>
      <c r="B750" s="7">
        <v>2018</v>
      </c>
      <c r="C750" s="7" t="s">
        <v>62</v>
      </c>
      <c r="D750" s="6" t="str">
        <f>'[1]V, inciso o) (OP)'!C363</f>
        <v>DOPI-MUN-RM-PAV-AD-117-2018</v>
      </c>
      <c r="E750" s="10">
        <f>'[1]V, inciso o) (OP)'!V363</f>
        <v>43182</v>
      </c>
      <c r="F750" s="6" t="str">
        <f>'[1]V, inciso o) (OP)'!AA363</f>
        <v>Pavimentación con concreto hidráulico de calle 16 de Septiembre de de calle Angulo a la Av. 5 de Mayo, incluye: banquetas, peatonalización, señalamiento y obras complementarias, en San Juan de Ocotán, municipio de Zapopan, Jalisco.</v>
      </c>
      <c r="G750" s="6" t="s">
        <v>63</v>
      </c>
      <c r="H750" s="25">
        <v>1325087.44</v>
      </c>
      <c r="I750" s="6" t="s">
        <v>1267</v>
      </c>
      <c r="J750" s="6" t="str">
        <f>'[1]V, inciso o) (OP)'!M363</f>
        <v>CARLOS CELSO</v>
      </c>
      <c r="K750" s="6" t="str">
        <f>'[1]V, inciso o) (OP)'!N363</f>
        <v>GARCÍA</v>
      </c>
      <c r="L750" s="6" t="str">
        <f>'[1]V, inciso o) (OP)'!O363</f>
        <v>QUINTERO</v>
      </c>
      <c r="M750" s="6" t="s">
        <v>3164</v>
      </c>
      <c r="N750" s="6" t="str">
        <f>'[1]V, inciso o) (OP)'!Q363</f>
        <v>GCH070702SH8</v>
      </c>
      <c r="O750" s="11">
        <f t="shared" si="23"/>
        <v>1325087.44</v>
      </c>
      <c r="P750" s="11">
        <v>1241119.6000000001</v>
      </c>
      <c r="Q750" s="14" t="s">
        <v>1268</v>
      </c>
      <c r="R750" s="15">
        <f>H750/855</f>
        <v>1549.8098713450293</v>
      </c>
      <c r="S750" s="7" t="s">
        <v>41</v>
      </c>
      <c r="T750" s="12">
        <v>2689</v>
      </c>
      <c r="U750" s="13" t="s">
        <v>42</v>
      </c>
      <c r="V750" s="7" t="s">
        <v>43</v>
      </c>
      <c r="W750" s="10">
        <f>'[1]V, inciso o) (OP)'!AD363</f>
        <v>43185</v>
      </c>
      <c r="X750" s="10">
        <f>'[1]V, inciso o) (OP)'!AE363</f>
        <v>43267</v>
      </c>
      <c r="Y750" s="7" t="s">
        <v>331</v>
      </c>
      <c r="Z750" s="7" t="s">
        <v>332</v>
      </c>
      <c r="AA750" s="7" t="s">
        <v>116</v>
      </c>
      <c r="AB750" s="21" t="s">
        <v>2369</v>
      </c>
      <c r="AC750" s="6" t="s">
        <v>2438</v>
      </c>
      <c r="AD750" s="6"/>
    </row>
    <row r="751" spans="1:30" ht="69.95" customHeight="1">
      <c r="A751" s="16">
        <v>118</v>
      </c>
      <c r="B751" s="7">
        <v>2018</v>
      </c>
      <c r="C751" s="7" t="s">
        <v>62</v>
      </c>
      <c r="D751" s="6" t="str">
        <f>'[1]V, inciso o) (OP)'!C364</f>
        <v>DOPI-MUN-RM-ELE-AD-118-2018</v>
      </c>
      <c r="E751" s="10">
        <f>'[1]V, inciso o) (OP)'!V364</f>
        <v>43187</v>
      </c>
      <c r="F751" s="6" t="str">
        <f>'[1]V, inciso o) (OP)'!AA364</f>
        <v>Red de electrificación de media y baja tensión en la Lateral Poniente de Periférico de Prolongación Av. Central Guillermo González Camarena a calle 5 de Mayo, municipio de Zapopan, Jalisco.</v>
      </c>
      <c r="G751" s="6" t="s">
        <v>63</v>
      </c>
      <c r="H751" s="25">
        <v>1794066.85</v>
      </c>
      <c r="I751" s="6" t="s">
        <v>1267</v>
      </c>
      <c r="J751" s="6" t="str">
        <f>'[1]V, inciso o) (OP)'!M364</f>
        <v>ANA KARINA</v>
      </c>
      <c r="K751" s="6" t="str">
        <f>'[1]V, inciso o) (OP)'!N364</f>
        <v>OJEDA</v>
      </c>
      <c r="L751" s="6" t="str">
        <f>'[1]V, inciso o) (OP)'!O364</f>
        <v>FERRELL</v>
      </c>
      <c r="M751" s="6" t="s">
        <v>3189</v>
      </c>
      <c r="N751" s="6" t="str">
        <f>'[1]V, inciso o) (OP)'!Q364</f>
        <v>KCI120928CD5</v>
      </c>
      <c r="O751" s="11">
        <f t="shared" si="23"/>
        <v>1794066.85</v>
      </c>
      <c r="P751" s="11">
        <f>O751</f>
        <v>1794066.85</v>
      </c>
      <c r="Q751" s="14" t="s">
        <v>1269</v>
      </c>
      <c r="R751" s="15">
        <f>H751/385</f>
        <v>4659.9138961038961</v>
      </c>
      <c r="S751" s="7" t="s">
        <v>41</v>
      </c>
      <c r="T751" s="12">
        <v>1332272</v>
      </c>
      <c r="U751" s="13" t="s">
        <v>42</v>
      </c>
      <c r="V751" s="7" t="s">
        <v>373</v>
      </c>
      <c r="W751" s="10">
        <f>'[1]V, inciso o) (OP)'!AD364</f>
        <v>43192</v>
      </c>
      <c r="X751" s="10">
        <f>'[1]V, inciso o) (OP)'!AE364</f>
        <v>43235</v>
      </c>
      <c r="Y751" s="7" t="s">
        <v>317</v>
      </c>
      <c r="Z751" s="7" t="s">
        <v>191</v>
      </c>
      <c r="AA751" s="7" t="s">
        <v>192</v>
      </c>
      <c r="AB751" s="21" t="s">
        <v>2370</v>
      </c>
      <c r="AC751" s="6" t="s">
        <v>2438</v>
      </c>
      <c r="AD751" s="6"/>
    </row>
    <row r="752" spans="1:30" ht="69.95" customHeight="1">
      <c r="A752" s="16">
        <v>119</v>
      </c>
      <c r="B752" s="7">
        <v>2018</v>
      </c>
      <c r="C752" s="7" t="s">
        <v>62</v>
      </c>
      <c r="D752" s="6" t="str">
        <f>'[1]V, inciso o) (OP)'!C365</f>
        <v>DOPI-MUN-RM-BACHEO-AD-119-2018</v>
      </c>
      <c r="E752" s="10">
        <f>'[1]V, inciso o) (OP)'!V365</f>
        <v>43187</v>
      </c>
      <c r="F752" s="6" t="str">
        <f>'[1]V, inciso o) (OP)'!AA365</f>
        <v>Programa municipal de bacheo superficial aislado y nivelación con mezcla asfáltica en caliente en vialidades, Zona Sur Poniente, frente 1, municipio de Zapopan, Jalisco.</v>
      </c>
      <c r="G752" s="6" t="s">
        <v>63</v>
      </c>
      <c r="H752" s="25">
        <v>1654654.79</v>
      </c>
      <c r="I752" s="6" t="s">
        <v>2540</v>
      </c>
      <c r="J752" s="6" t="str">
        <f>'[1]V, inciso o) (OP)'!M365</f>
        <v>ÁNGEL SALOMÓN</v>
      </c>
      <c r="K752" s="6" t="str">
        <f>'[1]V, inciso o) (OP)'!N365</f>
        <v>RINCÓN</v>
      </c>
      <c r="L752" s="6" t="str">
        <f>'[1]V, inciso o) (OP)'!O365</f>
        <v>DE LA ROSA</v>
      </c>
      <c r="M752" s="6" t="s">
        <v>3167</v>
      </c>
      <c r="N752" s="6" t="str">
        <f>'[1]V, inciso o) (OP)'!Q365</f>
        <v>AAR120507VA9</v>
      </c>
      <c r="O752" s="11">
        <f t="shared" si="23"/>
        <v>1654654.79</v>
      </c>
      <c r="P752" s="11">
        <v>1653838.1800000002</v>
      </c>
      <c r="Q752" s="22" t="s">
        <v>1270</v>
      </c>
      <c r="R752" s="15">
        <f>O752/6185</f>
        <v>267.52704769603884</v>
      </c>
      <c r="S752" s="7" t="s">
        <v>41</v>
      </c>
      <c r="T752" s="12">
        <v>268402</v>
      </c>
      <c r="U752" s="13" t="s">
        <v>42</v>
      </c>
      <c r="V752" s="7" t="s">
        <v>43</v>
      </c>
      <c r="W752" s="10">
        <f>'[1]V, inciso o) (OP)'!AD365</f>
        <v>43192</v>
      </c>
      <c r="X752" s="10">
        <f>'[1]V, inciso o) (OP)'!AE365</f>
        <v>43251</v>
      </c>
      <c r="Y752" s="7" t="s">
        <v>521</v>
      </c>
      <c r="Z752" s="7" t="s">
        <v>522</v>
      </c>
      <c r="AA752" s="7" t="s">
        <v>523</v>
      </c>
      <c r="AB752" s="21" t="s">
        <v>2371</v>
      </c>
      <c r="AC752" s="6" t="s">
        <v>2438</v>
      </c>
      <c r="AD752" s="6"/>
    </row>
    <row r="753" spans="1:30" ht="69.95" customHeight="1">
      <c r="A753" s="16">
        <v>120</v>
      </c>
      <c r="B753" s="7">
        <v>2018</v>
      </c>
      <c r="C753" s="7" t="s">
        <v>62</v>
      </c>
      <c r="D753" s="6" t="str">
        <f>'[1]V, inciso o) (OP)'!C366</f>
        <v>DOPI-MUN-RM-BACHEO-AD-120-2018</v>
      </c>
      <c r="E753" s="10">
        <f>'[1]V, inciso o) (OP)'!V366</f>
        <v>43187</v>
      </c>
      <c r="F753" s="6" t="str">
        <f>'[1]V, inciso o) (OP)'!AA366</f>
        <v>Programa municipal de bacheo superficial aislado y nivelación con mezcla asfáltica en vialidades, en diferentes Zonas, frente 1, municipio de Zapopan, Jalisco.</v>
      </c>
      <c r="G753" s="6" t="s">
        <v>63</v>
      </c>
      <c r="H753" s="25">
        <v>1722436.89</v>
      </c>
      <c r="I753" s="6" t="s">
        <v>1317</v>
      </c>
      <c r="J753" s="6" t="str">
        <f>'[1]V, inciso o) (OP)'!M366</f>
        <v xml:space="preserve">HUGO </v>
      </c>
      <c r="K753" s="6" t="str">
        <f>'[1]V, inciso o) (OP)'!N366</f>
        <v>BOJORQUEZ</v>
      </c>
      <c r="L753" s="6" t="str">
        <f>'[1]V, inciso o) (OP)'!O366</f>
        <v>SÁNCHEZ</v>
      </c>
      <c r="M753" s="6" t="s">
        <v>3168</v>
      </c>
      <c r="N753" s="6" t="str">
        <f>'[1]V, inciso o) (OP)'!Q366</f>
        <v>BJE1308202Z2</v>
      </c>
      <c r="O753" s="11">
        <f t="shared" si="23"/>
        <v>1722436.89</v>
      </c>
      <c r="P753" s="11">
        <v>1722436.8900000001</v>
      </c>
      <c r="Q753" s="22" t="s">
        <v>1271</v>
      </c>
      <c r="R753" s="15">
        <f>H753/6439</f>
        <v>267.50068178288552</v>
      </c>
      <c r="S753" s="7" t="s">
        <v>41</v>
      </c>
      <c r="T753" s="12">
        <v>356978</v>
      </c>
      <c r="U753" s="13" t="s">
        <v>42</v>
      </c>
      <c r="V753" s="7" t="s">
        <v>43</v>
      </c>
      <c r="W753" s="10">
        <f>'[1]V, inciso o) (OP)'!AD366</f>
        <v>43192</v>
      </c>
      <c r="X753" s="10">
        <f>'[1]V, inciso o) (OP)'!AE366</f>
        <v>43251</v>
      </c>
      <c r="Y753" s="7" t="s">
        <v>521</v>
      </c>
      <c r="Z753" s="7" t="s">
        <v>522</v>
      </c>
      <c r="AA753" s="7" t="s">
        <v>523</v>
      </c>
      <c r="AB753" s="21" t="s">
        <v>2372</v>
      </c>
      <c r="AC753" s="6" t="s">
        <v>2438</v>
      </c>
      <c r="AD753" s="6"/>
    </row>
    <row r="754" spans="1:30" ht="69.95" customHeight="1">
      <c r="A754" s="16">
        <v>121</v>
      </c>
      <c r="B754" s="7">
        <v>2018</v>
      </c>
      <c r="C754" s="7" t="s">
        <v>62</v>
      </c>
      <c r="D754" s="6" t="str">
        <f>'[1]V, inciso o) (OP)'!C367</f>
        <v>DOPI-MUN-RM-BACHEO-AD-121-2018</v>
      </c>
      <c r="E754" s="10">
        <f>'[1]V, inciso o) (OP)'!V367</f>
        <v>43187</v>
      </c>
      <c r="F754" s="6" t="str">
        <f>'[1]V, inciso o) (OP)'!AA367</f>
        <v>Programa municipal de bacheo superficial aislado y nivelación con mezcla asfáltica en caliente en vialidades, Zona Nor Poniente, frente 1, municipio de Zapopan, Jalisco.</v>
      </c>
      <c r="G754" s="6" t="s">
        <v>63</v>
      </c>
      <c r="H754" s="25">
        <v>1696874.24</v>
      </c>
      <c r="I754" s="30" t="s">
        <v>2541</v>
      </c>
      <c r="J754" s="6" t="str">
        <f>'[1]V, inciso o) (OP)'!M367</f>
        <v>RODRIGO</v>
      </c>
      <c r="K754" s="6" t="str">
        <f>'[1]V, inciso o) (OP)'!N367</f>
        <v>RAMOS</v>
      </c>
      <c r="L754" s="6" t="str">
        <f>'[1]V, inciso o) (OP)'!O367</f>
        <v>GARIBI</v>
      </c>
      <c r="M754" s="6" t="s">
        <v>3177</v>
      </c>
      <c r="N754" s="6" t="str">
        <f>'[1]V, inciso o) (OP)'!Q367</f>
        <v>CMA070307RU6</v>
      </c>
      <c r="O754" s="11">
        <f t="shared" si="23"/>
        <v>1696874.24</v>
      </c>
      <c r="P754" s="11">
        <v>1696874.23</v>
      </c>
      <c r="Q754" s="22" t="s">
        <v>1272</v>
      </c>
      <c r="R754" s="15">
        <f>O754/6343</f>
        <v>267.5191928109727</v>
      </c>
      <c r="S754" s="7" t="s">
        <v>41</v>
      </c>
      <c r="T754" s="12">
        <v>215048</v>
      </c>
      <c r="U754" s="13" t="s">
        <v>42</v>
      </c>
      <c r="V754" s="7" t="s">
        <v>43</v>
      </c>
      <c r="W754" s="10">
        <f>'[1]V, inciso o) (OP)'!AD367</f>
        <v>43192</v>
      </c>
      <c r="X754" s="10">
        <f>'[1]V, inciso o) (OP)'!AE367</f>
        <v>43251</v>
      </c>
      <c r="Y754" s="7" t="s">
        <v>521</v>
      </c>
      <c r="Z754" s="7" t="s">
        <v>522</v>
      </c>
      <c r="AA754" s="7" t="s">
        <v>523</v>
      </c>
      <c r="AB754" s="21" t="s">
        <v>2373</v>
      </c>
      <c r="AC754" s="6" t="s">
        <v>2438</v>
      </c>
      <c r="AD754" s="6"/>
    </row>
    <row r="755" spans="1:30" ht="69.95" customHeight="1">
      <c r="A755" s="16">
        <v>122</v>
      </c>
      <c r="B755" s="7">
        <v>2018</v>
      </c>
      <c r="C755" s="7" t="s">
        <v>62</v>
      </c>
      <c r="D755" s="6" t="str">
        <f>'[1]V, inciso o) (OP)'!C368</f>
        <v>DOPI-MUN-RM-BACHEO-AD-122-2018</v>
      </c>
      <c r="E755" s="10">
        <f>'[1]V, inciso o) (OP)'!V368</f>
        <v>43187</v>
      </c>
      <c r="F755" s="6" t="str">
        <f>'[1]V, inciso o) (OP)'!AA368</f>
        <v>Programa municipal de bacheo superficial aislado y nivelación con mezcla asfáltica en caliente en vialidades, Zona Centro, frente 1, municipio de Zapopan, Jalisco.</v>
      </c>
      <c r="G755" s="6" t="s">
        <v>63</v>
      </c>
      <c r="H755" s="25">
        <v>1764325.15</v>
      </c>
      <c r="I755" s="6" t="s">
        <v>1273</v>
      </c>
      <c r="J755" s="6" t="str">
        <f>'[1]V, inciso o) (OP)'!M368</f>
        <v>JESÚS DAVID</v>
      </c>
      <c r="K755" s="6" t="str">
        <f>'[1]V, inciso o) (OP)'!N368</f>
        <v xml:space="preserve">GARZA </v>
      </c>
      <c r="L755" s="6" t="str">
        <f>'[1]V, inciso o) (OP)'!O368</f>
        <v>GARCÍA</v>
      </c>
      <c r="M755" s="6" t="s">
        <v>3188</v>
      </c>
      <c r="N755" s="6" t="str">
        <f>'[1]V, inciso o) (OP)'!Q368</f>
        <v>CEA010615GT0</v>
      </c>
      <c r="O755" s="11">
        <f t="shared" si="23"/>
        <v>1764325.15</v>
      </c>
      <c r="P755" s="11">
        <v>1764325.16</v>
      </c>
      <c r="Q755" s="22" t="s">
        <v>1274</v>
      </c>
      <c r="R755" s="15">
        <f>O755/6596</f>
        <v>267.48410400242568</v>
      </c>
      <c r="S755" s="7" t="s">
        <v>41</v>
      </c>
      <c r="T755" s="12">
        <v>423156</v>
      </c>
      <c r="U755" s="13" t="s">
        <v>42</v>
      </c>
      <c r="V755" s="7" t="s">
        <v>43</v>
      </c>
      <c r="W755" s="10">
        <f>'[1]V, inciso o) (OP)'!AD368</f>
        <v>43192</v>
      </c>
      <c r="X755" s="10">
        <f>'[1]V, inciso o) (OP)'!AE368</f>
        <v>43251</v>
      </c>
      <c r="Y755" s="7" t="s">
        <v>521</v>
      </c>
      <c r="Z755" s="7" t="s">
        <v>522</v>
      </c>
      <c r="AA755" s="7" t="s">
        <v>523</v>
      </c>
      <c r="AB755" s="21" t="s">
        <v>2374</v>
      </c>
      <c r="AC755" s="6" t="s">
        <v>2438</v>
      </c>
      <c r="AD755" s="6"/>
    </row>
    <row r="756" spans="1:30" ht="69.95" customHeight="1">
      <c r="A756" s="16">
        <v>123</v>
      </c>
      <c r="B756" s="7">
        <v>2018</v>
      </c>
      <c r="C756" s="7" t="s">
        <v>62</v>
      </c>
      <c r="D756" s="6" t="str">
        <f>'[1]V, inciso o) (OP)'!C369</f>
        <v>DOPI-MUN-RM-CALAFATEO-AD-123-2018</v>
      </c>
      <c r="E756" s="10">
        <f>'[1]V, inciso o) (OP)'!V369</f>
        <v>43187</v>
      </c>
      <c r="F756" s="6" t="str">
        <f>'[1]V, inciso o) (OP)'!AA369</f>
        <v>Programa municipal de calafateo en juntas y grietas de pavimentos hidráulicos con sellador asfaltico en vialidades, Zona Centro, frente 1, municipio de Zapopan, Jalisco.</v>
      </c>
      <c r="G756" s="6" t="s">
        <v>63</v>
      </c>
      <c r="H756" s="25">
        <v>1776315.78</v>
      </c>
      <c r="I756" s="6" t="s">
        <v>1273</v>
      </c>
      <c r="J756" s="6" t="str">
        <f>'[1]V, inciso o) (OP)'!M369</f>
        <v>OSCAR MELESIO</v>
      </c>
      <c r="K756" s="6" t="str">
        <f>'[1]V, inciso o) (OP)'!N369</f>
        <v>HERNÁNDEZ</v>
      </c>
      <c r="L756" s="6" t="str">
        <f>'[1]V, inciso o) (OP)'!O369</f>
        <v>VALERIANO</v>
      </c>
      <c r="M756" s="6" t="s">
        <v>3265</v>
      </c>
      <c r="N756" s="6" t="str">
        <f>'[1]V, inciso o) (OP)'!Q369</f>
        <v>CGR120828P29</v>
      </c>
      <c r="O756" s="11">
        <f t="shared" si="23"/>
        <v>1776315.78</v>
      </c>
      <c r="P756" s="11">
        <v>1776315.5799999998</v>
      </c>
      <c r="Q756" s="22" t="s">
        <v>1275</v>
      </c>
      <c r="R756" s="15">
        <f>O756/36185</f>
        <v>49.089837778084842</v>
      </c>
      <c r="S756" s="7" t="s">
        <v>41</v>
      </c>
      <c r="T756" s="12">
        <v>423156</v>
      </c>
      <c r="U756" s="13" t="s">
        <v>42</v>
      </c>
      <c r="V756" s="7" t="s">
        <v>43</v>
      </c>
      <c r="W756" s="10">
        <f>'[1]V, inciso o) (OP)'!AD369</f>
        <v>43192</v>
      </c>
      <c r="X756" s="10">
        <f>'[1]V, inciso o) (OP)'!AE369</f>
        <v>43281</v>
      </c>
      <c r="Y756" s="7" t="s">
        <v>521</v>
      </c>
      <c r="Z756" s="7" t="s">
        <v>522</v>
      </c>
      <c r="AA756" s="7" t="s">
        <v>523</v>
      </c>
      <c r="AB756" s="21" t="s">
        <v>2375</v>
      </c>
      <c r="AC756" s="6" t="s">
        <v>2438</v>
      </c>
      <c r="AD756" s="6"/>
    </row>
    <row r="757" spans="1:30" ht="69.95" customHeight="1">
      <c r="A757" s="16">
        <v>124</v>
      </c>
      <c r="B757" s="7">
        <v>2018</v>
      </c>
      <c r="C757" s="7" t="s">
        <v>62</v>
      </c>
      <c r="D757" s="6" t="str">
        <f>'[1]V, inciso o) (OP)'!C370</f>
        <v>DOPI-MUN-RM-CALAFATEO-AD-124-2018</v>
      </c>
      <c r="E757" s="10">
        <f>'[1]V, inciso o) (OP)'!V370</f>
        <v>43187</v>
      </c>
      <c r="F757" s="6" t="str">
        <f>'[1]V, inciso o) (OP)'!AA370</f>
        <v>Programa municipal de calafateo en juntas y grietas de pavimentos hidráulicos con sellador asfaltico en vialidades, Zona Sur Poniente, frente 1, municipio de Zapopan, Jalisco.</v>
      </c>
      <c r="G757" s="6" t="s">
        <v>63</v>
      </c>
      <c r="H757" s="25">
        <v>1692436.74</v>
      </c>
      <c r="I757" s="6" t="s">
        <v>2542</v>
      </c>
      <c r="J757" s="6" t="str">
        <f>'[1]V, inciso o) (OP)'!M370</f>
        <v>JOSÉ DE JESÚS</v>
      </c>
      <c r="K757" s="6" t="str">
        <f>'[1]V, inciso o) (OP)'!N370</f>
        <v>PALAFOX</v>
      </c>
      <c r="L757" s="6" t="str">
        <f>'[1]V, inciso o) (OP)'!O370</f>
        <v>VILLEGAS</v>
      </c>
      <c r="M757" s="6" t="s">
        <v>3175</v>
      </c>
      <c r="N757" s="6" t="str">
        <f>'[1]V, inciso o) (OP)'!Q370</f>
        <v>MCO1510113H8</v>
      </c>
      <c r="O757" s="11">
        <f t="shared" si="23"/>
        <v>1692436.74</v>
      </c>
      <c r="P757" s="11">
        <v>1692436.71</v>
      </c>
      <c r="Q757" s="22" t="s">
        <v>1276</v>
      </c>
      <c r="R757" s="15">
        <f>O757/34476</f>
        <v>49.090287156282628</v>
      </c>
      <c r="S757" s="7" t="s">
        <v>41</v>
      </c>
      <c r="T757" s="12">
        <v>268402</v>
      </c>
      <c r="U757" s="13" t="s">
        <v>42</v>
      </c>
      <c r="V757" s="7" t="s">
        <v>43</v>
      </c>
      <c r="W757" s="10">
        <f>'[1]V, inciso o) (OP)'!AD370</f>
        <v>43192</v>
      </c>
      <c r="X757" s="10">
        <f>'[1]V, inciso o) (OP)'!AE370</f>
        <v>43281</v>
      </c>
      <c r="Y757" s="7" t="s">
        <v>521</v>
      </c>
      <c r="Z757" s="7" t="s">
        <v>522</v>
      </c>
      <c r="AA757" s="7" t="s">
        <v>523</v>
      </c>
      <c r="AB757" s="21" t="s">
        <v>2376</v>
      </c>
      <c r="AC757" s="6" t="s">
        <v>2438</v>
      </c>
      <c r="AD757" s="6"/>
    </row>
    <row r="758" spans="1:30" ht="69.95" customHeight="1">
      <c r="A758" s="16">
        <v>125</v>
      </c>
      <c r="B758" s="7">
        <v>2018</v>
      </c>
      <c r="C758" s="7" t="s">
        <v>62</v>
      </c>
      <c r="D758" s="6" t="str">
        <f>'[1]V, inciso o) (OP)'!C371</f>
        <v>DOPI-MUN-RM-DES-AD-125-2018</v>
      </c>
      <c r="E758" s="10">
        <f>'[1]V, inciso o) (OP)'!V371</f>
        <v>43203</v>
      </c>
      <c r="F758" s="6" t="str">
        <f>'[1]V, inciso o) (OP)'!AA371</f>
        <v>Desazolve, limpieza, rectificación y obras de protección de cauce y canal del Arroyo Garabato de Arenales Tapatíos a Periférico, municipio de Zapopan, Jalisco, primera etapa.</v>
      </c>
      <c r="G758" s="6" t="s">
        <v>63</v>
      </c>
      <c r="H758" s="25">
        <v>1595324.1</v>
      </c>
      <c r="I758" s="6" t="s">
        <v>1277</v>
      </c>
      <c r="J758" s="6" t="str">
        <f>'[1]V, inciso o) (OP)'!M371</f>
        <v>DARIO</v>
      </c>
      <c r="K758" s="6" t="str">
        <f>'[1]V, inciso o) (OP)'!N371</f>
        <v>HURTADO</v>
      </c>
      <c r="L758" s="6" t="str">
        <f>'[1]V, inciso o) (OP)'!O371</f>
        <v>SERRANO</v>
      </c>
      <c r="M758" s="6" t="s">
        <v>3247</v>
      </c>
      <c r="N758" s="6" t="str">
        <f>'[1]V, inciso o) (OP)'!Q371</f>
        <v>EID120425SQ2</v>
      </c>
      <c r="O758" s="11">
        <f t="shared" si="23"/>
        <v>1595324.1</v>
      </c>
      <c r="P758" s="11">
        <v>1595324.11</v>
      </c>
      <c r="Q758" s="14" t="s">
        <v>1167</v>
      </c>
      <c r="R758" s="15">
        <f>H758/3165</f>
        <v>504.05184834123224</v>
      </c>
      <c r="S758" s="7" t="s">
        <v>41</v>
      </c>
      <c r="T758" s="12">
        <v>3863</v>
      </c>
      <c r="U758" s="13" t="s">
        <v>42</v>
      </c>
      <c r="V758" s="7" t="s">
        <v>43</v>
      </c>
      <c r="W758" s="10">
        <f>'[1]V, inciso o) (OP)'!AD371</f>
        <v>43206</v>
      </c>
      <c r="X758" s="10">
        <f>'[1]V, inciso o) (OP)'!AE371</f>
        <v>43251</v>
      </c>
      <c r="Y758" s="7" t="s">
        <v>722</v>
      </c>
      <c r="Z758" s="7" t="s">
        <v>231</v>
      </c>
      <c r="AA758" s="7" t="s">
        <v>143</v>
      </c>
      <c r="AB758" s="21" t="s">
        <v>2377</v>
      </c>
      <c r="AC758" s="6" t="s">
        <v>2438</v>
      </c>
      <c r="AD758" s="6"/>
    </row>
    <row r="759" spans="1:30" ht="69.95" customHeight="1">
      <c r="A759" s="16">
        <v>126</v>
      </c>
      <c r="B759" s="7">
        <v>2018</v>
      </c>
      <c r="C759" s="7" t="s">
        <v>62</v>
      </c>
      <c r="D759" s="6" t="str">
        <f>'[1]V, inciso o) (OP)'!C372</f>
        <v>DOPI-MUN-RM-DES-AD-126-2018</v>
      </c>
      <c r="E759" s="10">
        <f>'[1]V, inciso o) (OP)'!V372</f>
        <v>43203</v>
      </c>
      <c r="F759" s="6" t="str">
        <f>'[1]V, inciso o) (OP)'!AA372</f>
        <v>Desazolve, limpieza, rectificación y obras de protección de cauce y canal del Arroyo Seco de Lomas de la Primavera a Periférico, municipio de Zapopan, Jalisco, primera etapa.</v>
      </c>
      <c r="G759" s="6" t="s">
        <v>63</v>
      </c>
      <c r="H759" s="25">
        <v>1686334.79</v>
      </c>
      <c r="I759" s="6" t="s">
        <v>1143</v>
      </c>
      <c r="J759" s="6" t="str">
        <f>'[1]V, inciso o) (OP)'!M372</f>
        <v>MA. LUIZA</v>
      </c>
      <c r="K759" s="6" t="str">
        <f>'[1]V, inciso o) (OP)'!N372</f>
        <v>MARTÍNEZ</v>
      </c>
      <c r="L759" s="6" t="str">
        <f>'[1]V, inciso o) (OP)'!O372</f>
        <v>ALMARAZ</v>
      </c>
      <c r="M759" s="6" t="s">
        <v>3254</v>
      </c>
      <c r="N759" s="6" t="str">
        <f>'[1]V, inciso o) (OP)'!Q372</f>
        <v>JAS170622TX0</v>
      </c>
      <c r="O759" s="11">
        <f t="shared" si="23"/>
        <v>1686334.79</v>
      </c>
      <c r="P759" s="11">
        <v>1686334.78</v>
      </c>
      <c r="Q759" s="14" t="s">
        <v>1278</v>
      </c>
      <c r="R759" s="15">
        <f>H759/2856</f>
        <v>590.45335784313727</v>
      </c>
      <c r="S759" s="7" t="s">
        <v>41</v>
      </c>
      <c r="T759" s="12">
        <v>3843</v>
      </c>
      <c r="U759" s="13" t="s">
        <v>42</v>
      </c>
      <c r="V759" s="7" t="s">
        <v>43</v>
      </c>
      <c r="W759" s="10">
        <f>'[1]V, inciso o) (OP)'!AD372</f>
        <v>43206</v>
      </c>
      <c r="X759" s="10">
        <f>'[1]V, inciso o) (OP)'!AE372</f>
        <v>43281</v>
      </c>
      <c r="Y759" s="7" t="s">
        <v>431</v>
      </c>
      <c r="Z759" s="7" t="s">
        <v>181</v>
      </c>
      <c r="AA759" s="7" t="s">
        <v>89</v>
      </c>
      <c r="AB759" s="21" t="s">
        <v>2378</v>
      </c>
      <c r="AC759" s="6" t="s">
        <v>2438</v>
      </c>
      <c r="AD759" s="6"/>
    </row>
    <row r="760" spans="1:30" ht="69.95" customHeight="1">
      <c r="A760" s="16">
        <v>127</v>
      </c>
      <c r="B760" s="7">
        <v>2018</v>
      </c>
      <c r="C760" s="7" t="s">
        <v>62</v>
      </c>
      <c r="D760" s="6" t="str">
        <f>'[1]V, inciso o) (OP)'!C373</f>
        <v>DOPI-MUN-CUSMAX-IM-AD-127-2018</v>
      </c>
      <c r="E760" s="10">
        <f>'[1]V, inciso o) (OP)'!V373</f>
        <v>43203</v>
      </c>
      <c r="F760" s="6" t="str">
        <f>'[1]V, inciso o) (OP)'!AA373</f>
        <v>Construcción de la cimentación y cisternas en la estación de bomberos, ubicada en Av. Universidad, municipio de Zapopan, Jalisco.</v>
      </c>
      <c r="G760" s="6" t="s">
        <v>3339</v>
      </c>
      <c r="H760" s="25">
        <v>1765454.36</v>
      </c>
      <c r="I760" s="6" t="s">
        <v>1279</v>
      </c>
      <c r="J760" s="6" t="str">
        <f>'[1]V, inciso o) (OP)'!M373</f>
        <v>RICARDO</v>
      </c>
      <c r="K760" s="6" t="str">
        <f>'[1]V, inciso o) (OP)'!N373</f>
        <v>HARO</v>
      </c>
      <c r="L760" s="6" t="str">
        <f>'[1]V, inciso o) (OP)'!O373</f>
        <v>BUGARIN</v>
      </c>
      <c r="M760" s="6" t="s">
        <v>3217</v>
      </c>
      <c r="N760" s="6" t="str">
        <f>'[1]V, inciso o) (OP)'!Q373</f>
        <v>CED030514T47</v>
      </c>
      <c r="O760" s="11">
        <f t="shared" si="23"/>
        <v>1765454.36</v>
      </c>
      <c r="P760" s="11">
        <v>581692.94999999995</v>
      </c>
      <c r="Q760" s="14" t="s">
        <v>1280</v>
      </c>
      <c r="R760" s="15">
        <f>H760/628</f>
        <v>2811.233057324841</v>
      </c>
      <c r="S760" s="7" t="s">
        <v>41</v>
      </c>
      <c r="T760" s="12">
        <v>1332272</v>
      </c>
      <c r="U760" s="13" t="s">
        <v>42</v>
      </c>
      <c r="V760" s="43" t="s">
        <v>43</v>
      </c>
      <c r="W760" s="10">
        <f>'[1]V, inciso o) (OP)'!AD373</f>
        <v>43206</v>
      </c>
      <c r="X760" s="10">
        <f>'[1]V, inciso o) (OP)'!AE373</f>
        <v>43281</v>
      </c>
      <c r="Y760" s="7" t="s">
        <v>859</v>
      </c>
      <c r="Z760" s="7" t="s">
        <v>860</v>
      </c>
      <c r="AA760" s="7" t="s">
        <v>861</v>
      </c>
      <c r="AB760" s="21" t="s">
        <v>2886</v>
      </c>
      <c r="AC760" s="6" t="s">
        <v>2438</v>
      </c>
      <c r="AD760" s="6"/>
    </row>
    <row r="761" spans="1:30" ht="69.95" customHeight="1">
      <c r="A761" s="16">
        <v>128</v>
      </c>
      <c r="B761" s="7">
        <v>2018</v>
      </c>
      <c r="C761" s="7" t="s">
        <v>62</v>
      </c>
      <c r="D761" s="6" t="str">
        <f>'[1]V, inciso o) (OP)'!C374</f>
        <v>DOPI-MUN-R33-DS-AD-128-2018</v>
      </c>
      <c r="E761" s="10">
        <f>'[1]V, inciso o) (OP)'!V374</f>
        <v>43187</v>
      </c>
      <c r="F761" s="6" t="str">
        <f>'[1]V, inciso o) (OP)'!AA374</f>
        <v>Construcción de red de drenaje en la Lateral Prolongación Mariano Otero, colonia Puerta del Bosque, municipio de Zapopan, Jalisco.</v>
      </c>
      <c r="G761" s="6" t="s">
        <v>63</v>
      </c>
      <c r="H761" s="25">
        <v>720360.47</v>
      </c>
      <c r="I761" s="6" t="s">
        <v>1281</v>
      </c>
      <c r="J761" s="6" t="str">
        <f>'[1]V, inciso o) (OP)'!M374</f>
        <v>JOSÉ DE JESÚS</v>
      </c>
      <c r="K761" s="6" t="str">
        <f>'[1]V, inciso o) (OP)'!N374</f>
        <v>PALAFOX</v>
      </c>
      <c r="L761" s="6" t="str">
        <f>'[1]V, inciso o) (OP)'!O374</f>
        <v>VILLEGAS</v>
      </c>
      <c r="M761" s="6" t="s">
        <v>3175</v>
      </c>
      <c r="N761" s="6" t="str">
        <f>'[1]V, inciso o) (OP)'!Q374</f>
        <v>MCO1510113H8</v>
      </c>
      <c r="O761" s="11">
        <f t="shared" si="23"/>
        <v>720360.47</v>
      </c>
      <c r="P761" s="11">
        <v>720360.43</v>
      </c>
      <c r="Q761" s="14" t="s">
        <v>1282</v>
      </c>
      <c r="R761" s="15">
        <f>H761/250</f>
        <v>2881.4418799999999</v>
      </c>
      <c r="S761" s="7" t="s">
        <v>41</v>
      </c>
      <c r="T761" s="12">
        <v>126</v>
      </c>
      <c r="U761" s="13" t="s">
        <v>42</v>
      </c>
      <c r="V761" s="7" t="s">
        <v>43</v>
      </c>
      <c r="W761" s="10">
        <f>'[1]V, inciso o) (OP)'!AD374</f>
        <v>43192</v>
      </c>
      <c r="X761" s="10">
        <f>'[1]V, inciso o) (OP)'!AE374</f>
        <v>43266</v>
      </c>
      <c r="Y761" s="7" t="s">
        <v>780</v>
      </c>
      <c r="Z761" s="7" t="s">
        <v>730</v>
      </c>
      <c r="AA761" s="7" t="s">
        <v>731</v>
      </c>
      <c r="AB761" s="21" t="s">
        <v>2379</v>
      </c>
      <c r="AC761" s="6" t="s">
        <v>2438</v>
      </c>
      <c r="AD761" s="6"/>
    </row>
    <row r="762" spans="1:30" ht="69.95" customHeight="1">
      <c r="A762" s="16">
        <v>129</v>
      </c>
      <c r="B762" s="7">
        <v>2018</v>
      </c>
      <c r="C762" s="7" t="s">
        <v>62</v>
      </c>
      <c r="D762" s="6" t="str">
        <f>'[1]V, inciso o) (OP)'!C375</f>
        <v>DOPI-MUN-R33-APDS-AD-129-2018</v>
      </c>
      <c r="E762" s="10">
        <f>'[1]V, inciso o) (OP)'!V375</f>
        <v>43187</v>
      </c>
      <c r="F762" s="6" t="str">
        <f>'[1]V, inciso o) (OP)'!AA375</f>
        <v>Construcción de líneas de drenaje y agua potable en la calle Belisario Domínguez, en la colonia Mariano Otero, municipio de Zapopan, Jalisco.</v>
      </c>
      <c r="G762" s="6" t="s">
        <v>63</v>
      </c>
      <c r="H762" s="25">
        <v>539750.36</v>
      </c>
      <c r="I762" s="6" t="s">
        <v>1283</v>
      </c>
      <c r="J762" s="6" t="str">
        <f>'[1]V, inciso o) (OP)'!M375</f>
        <v>JOSÉ DE JESÚS</v>
      </c>
      <c r="K762" s="6" t="str">
        <f>'[1]V, inciso o) (OP)'!N375</f>
        <v>MARQUEZ</v>
      </c>
      <c r="L762" s="6" t="str">
        <f>'[1]V, inciso o) (OP)'!O375</f>
        <v>ÁVILA</v>
      </c>
      <c r="M762" s="6" t="s">
        <v>3088</v>
      </c>
      <c r="N762" s="6" t="str">
        <f>'[1]V, inciso o) (OP)'!Q375</f>
        <v>FUT1110275V9</v>
      </c>
      <c r="O762" s="11">
        <f t="shared" si="23"/>
        <v>539750.36</v>
      </c>
      <c r="P762" s="11">
        <v>425966.25</v>
      </c>
      <c r="Q762" s="14" t="s">
        <v>1284</v>
      </c>
      <c r="R762" s="15">
        <f>H762/170</f>
        <v>3175.0021176470586</v>
      </c>
      <c r="S762" s="7" t="s">
        <v>41</v>
      </c>
      <c r="T762" s="12">
        <v>186</v>
      </c>
      <c r="U762" s="13" t="s">
        <v>42</v>
      </c>
      <c r="V762" s="7" t="s">
        <v>43</v>
      </c>
      <c r="W762" s="10">
        <f>'[1]V, inciso o) (OP)'!AD375</f>
        <v>43192</v>
      </c>
      <c r="X762" s="10">
        <f>'[1]V, inciso o) (OP)'!AE375</f>
        <v>43266</v>
      </c>
      <c r="Y762" s="7" t="s">
        <v>780</v>
      </c>
      <c r="Z762" s="7" t="s">
        <v>818</v>
      </c>
      <c r="AA762" s="7" t="s">
        <v>186</v>
      </c>
      <c r="AB762" s="21" t="s">
        <v>2380</v>
      </c>
      <c r="AC762" s="6" t="s">
        <v>2438</v>
      </c>
      <c r="AD762" s="6"/>
    </row>
    <row r="763" spans="1:30" ht="69.95" customHeight="1">
      <c r="A763" s="16">
        <v>130</v>
      </c>
      <c r="B763" s="7">
        <v>2018</v>
      </c>
      <c r="C763" s="7" t="s">
        <v>62</v>
      </c>
      <c r="D763" s="6" t="str">
        <f>'[1]V, inciso o) (OP)'!C376</f>
        <v>DOPI-MUN-R33-APDS-AD-130-2018</v>
      </c>
      <c r="E763" s="10">
        <f>'[1]V, inciso o) (OP)'!V376</f>
        <v>43187</v>
      </c>
      <c r="F763" s="6" t="str">
        <f>'[1]V, inciso o) (OP)'!AA376</f>
        <v>Construcción de líneas de drenaje y agua potable en la colonia Miramar, municipio de Zapopan, Jalisco.</v>
      </c>
      <c r="G763" s="6" t="s">
        <v>63</v>
      </c>
      <c r="H763" s="25">
        <v>1207386.1599999999</v>
      </c>
      <c r="I763" s="6" t="s">
        <v>1175</v>
      </c>
      <c r="J763" s="6" t="str">
        <f>'[1]V, inciso o) (OP)'!M376</f>
        <v>ALEJANDRO</v>
      </c>
      <c r="K763" s="6" t="str">
        <f>'[1]V, inciso o) (OP)'!N376</f>
        <v>MONTUFAR</v>
      </c>
      <c r="L763" s="6" t="str">
        <f>'[1]V, inciso o) (OP)'!O376</f>
        <v>NUÑEZ</v>
      </c>
      <c r="M763" s="6" t="s">
        <v>3271</v>
      </c>
      <c r="N763" s="6" t="str">
        <f>'[1]V, inciso o) (OP)'!Q376</f>
        <v>CCV120524J49</v>
      </c>
      <c r="O763" s="11">
        <f t="shared" si="23"/>
        <v>1207386.1599999999</v>
      </c>
      <c r="P763" s="11">
        <v>1106029.8699999999</v>
      </c>
      <c r="Q763" s="14" t="s">
        <v>1269</v>
      </c>
      <c r="R763" s="15">
        <f>H763/385</f>
        <v>3136.067948051948</v>
      </c>
      <c r="S763" s="7" t="s">
        <v>41</v>
      </c>
      <c r="T763" s="12">
        <v>498</v>
      </c>
      <c r="U763" s="13" t="s">
        <v>42</v>
      </c>
      <c r="V763" s="7" t="s">
        <v>43</v>
      </c>
      <c r="W763" s="10">
        <f>'[1]V, inciso o) (OP)'!AD376</f>
        <v>43192</v>
      </c>
      <c r="X763" s="10">
        <f>'[1]V, inciso o) (OP)'!AE376</f>
        <v>43251</v>
      </c>
      <c r="Y763" s="7" t="s">
        <v>780</v>
      </c>
      <c r="Z763" s="7" t="s">
        <v>818</v>
      </c>
      <c r="AA763" s="7" t="s">
        <v>186</v>
      </c>
      <c r="AB763" s="21" t="s">
        <v>2381</v>
      </c>
      <c r="AC763" s="6" t="s">
        <v>2438</v>
      </c>
      <c r="AD763" s="6"/>
    </row>
    <row r="764" spans="1:30" ht="69.95" customHeight="1">
      <c r="A764" s="16">
        <v>131</v>
      </c>
      <c r="B764" s="7">
        <v>2018</v>
      </c>
      <c r="C764" s="7" t="s">
        <v>62</v>
      </c>
      <c r="D764" s="6" t="str">
        <f>'[1]V, inciso o) (OP)'!C377</f>
        <v>DOPI-MUN-RM-APDS-AD-131-2018</v>
      </c>
      <c r="E764" s="10">
        <f>'[1]V, inciso o) (OP)'!V377</f>
        <v>43220</v>
      </c>
      <c r="F764" s="32" t="str">
        <f>'[1]V, inciso o) (OP)'!AA377</f>
        <v>Construcción de red de drenaje y agua potable en la Privada Diaz, colonia California; Seccionamiento de red distribución en el crucero ubicado sobre la Av. Aviación en su cruce con Paseo San Arturo, en la localidad de San Juan de Ocotán, municipio de Zapopan, Jalisco.</v>
      </c>
      <c r="G764" s="6" t="s">
        <v>63</v>
      </c>
      <c r="H764" s="25">
        <v>538548.63</v>
      </c>
      <c r="I764" s="6" t="s">
        <v>1285</v>
      </c>
      <c r="J764" s="6" t="str">
        <f>'[1]V, inciso o) (OP)'!M377</f>
        <v>FRANCISCO JAVIER</v>
      </c>
      <c r="K764" s="6" t="str">
        <f>'[1]V, inciso o) (OP)'!N377</f>
        <v>AYALA</v>
      </c>
      <c r="L764" s="6" t="str">
        <f>'[1]V, inciso o) (OP)'!O377</f>
        <v>LEAL</v>
      </c>
      <c r="M764" s="6" t="s">
        <v>3272</v>
      </c>
      <c r="N764" s="6" t="str">
        <f>'[1]V, inciso o) (OP)'!Q377</f>
        <v>OPA140403K72</v>
      </c>
      <c r="O764" s="11">
        <f t="shared" si="23"/>
        <v>538548.63</v>
      </c>
      <c r="P764" s="11">
        <v>434853.08999999997</v>
      </c>
      <c r="Q764" s="14" t="s">
        <v>659</v>
      </c>
      <c r="R764" s="15">
        <f>O764/112</f>
        <v>4808.469910714286</v>
      </c>
      <c r="S764" s="7" t="s">
        <v>41</v>
      </c>
      <c r="T764" s="12">
        <v>691</v>
      </c>
      <c r="U764" s="13" t="s">
        <v>42</v>
      </c>
      <c r="V764" s="43" t="s">
        <v>43</v>
      </c>
      <c r="W764" s="10">
        <f>'[1]V, inciso o) (OP)'!AD377</f>
        <v>43222</v>
      </c>
      <c r="X764" s="10">
        <f>'[1]V, inciso o) (OP)'!AE377</f>
        <v>43266</v>
      </c>
      <c r="Y764" s="7" t="s">
        <v>394</v>
      </c>
      <c r="Z764" s="7" t="s">
        <v>279</v>
      </c>
      <c r="AA764" s="7" t="s">
        <v>78</v>
      </c>
      <c r="AB764" s="21" t="s">
        <v>2382</v>
      </c>
      <c r="AC764" s="6" t="s">
        <v>2438</v>
      </c>
      <c r="AD764" s="6"/>
    </row>
    <row r="765" spans="1:30" ht="69.95" customHeight="1">
      <c r="A765" s="16">
        <v>132</v>
      </c>
      <c r="B765" s="7">
        <v>2018</v>
      </c>
      <c r="C765" s="7" t="s">
        <v>62</v>
      </c>
      <c r="D765" s="6" t="str">
        <f>'[1]V, inciso o) (OP)'!C378</f>
        <v>DOPI-MUN-RM-PAV-AD-132-2018</v>
      </c>
      <c r="E765" s="10">
        <f>'[1]V, inciso o) (OP)'!V378</f>
        <v>43182</v>
      </c>
      <c r="F765" s="32" t="str">
        <f>'[1]V, inciso o) (OP)'!AA378</f>
        <v>Construcción de pavimento de empedrado tradicional, incluye: línea de agua potable, descargas sanitarias, guarniciones, banquetas, accesibilidad y servicios complementarios en la calle Hidalgo de las vías a Ejido y de la calle Ejido de Hidalgo a Manuel García, en la localidad La Venta del Astillero, municipio de Zapopan, Jalisco.</v>
      </c>
      <c r="G765" s="6" t="s">
        <v>63</v>
      </c>
      <c r="H765" s="25">
        <v>1715654.36</v>
      </c>
      <c r="I765" s="6" t="s">
        <v>1286</v>
      </c>
      <c r="J765" s="6" t="str">
        <f>'[1]V, inciso o) (OP)'!M378</f>
        <v>JOSÉ OMAR</v>
      </c>
      <c r="K765" s="6" t="str">
        <f>'[1]V, inciso o) (OP)'!N378</f>
        <v>FERNÁNDEZ</v>
      </c>
      <c r="L765" s="6" t="str">
        <f>'[1]V, inciso o) (OP)'!O378</f>
        <v>VÁZQUEZ</v>
      </c>
      <c r="M765" s="6" t="s">
        <v>3205</v>
      </c>
      <c r="N765" s="6" t="str">
        <f>'[1]V, inciso o) (OP)'!Q378</f>
        <v>FEVO740619686</v>
      </c>
      <c r="O765" s="11">
        <f t="shared" si="23"/>
        <v>1715654.36</v>
      </c>
      <c r="P765" s="11">
        <v>1715651.5899999999</v>
      </c>
      <c r="Q765" s="14" t="s">
        <v>1287</v>
      </c>
      <c r="R765" s="15">
        <f>H765/2164</f>
        <v>792.81624768946403</v>
      </c>
      <c r="S765" s="7" t="s">
        <v>41</v>
      </c>
      <c r="T765" s="12">
        <v>899</v>
      </c>
      <c r="U765" s="13" t="s">
        <v>42</v>
      </c>
      <c r="V765" s="7" t="s">
        <v>43</v>
      </c>
      <c r="W765" s="10">
        <f>'[1]V, inciso o) (OP)'!AD378</f>
        <v>43185</v>
      </c>
      <c r="X765" s="10">
        <f>'[1]V, inciso o) (OP)'!AE378</f>
        <v>43281</v>
      </c>
      <c r="Y765" s="7" t="s">
        <v>394</v>
      </c>
      <c r="Z765" s="7" t="s">
        <v>279</v>
      </c>
      <c r="AA765" s="7" t="s">
        <v>78</v>
      </c>
      <c r="AB765" s="21" t="s">
        <v>2383</v>
      </c>
      <c r="AC765" s="6" t="s">
        <v>2438</v>
      </c>
      <c r="AD765" s="6"/>
    </row>
    <row r="766" spans="1:30" ht="69.95" customHeight="1">
      <c r="A766" s="16">
        <v>133</v>
      </c>
      <c r="B766" s="7">
        <v>2018</v>
      </c>
      <c r="C766" s="7" t="s">
        <v>62</v>
      </c>
      <c r="D766" s="6" t="str">
        <f>'[1]V, inciso o) (OP)'!C379</f>
        <v>DOPI-MUN-RM-APDS-AD-133-2018</v>
      </c>
      <c r="E766" s="10">
        <f>'[1]V, inciso o) (OP)'!V379</f>
        <v>43187</v>
      </c>
      <c r="F766" s="6" t="str">
        <f>'[1]V, inciso o) (OP)'!AA379</f>
        <v>Sustitución de línea de agua potable y obra complementaria de la red de drenaje sanitario en las calles Quirino Rivera y Daniel Macías, colonia Villa de Guadalupe, municipio de Zapopan, Jalisco.</v>
      </c>
      <c r="G766" s="6" t="s">
        <v>63</v>
      </c>
      <c r="H766" s="25">
        <v>817165.77</v>
      </c>
      <c r="I766" s="6" t="s">
        <v>308</v>
      </c>
      <c r="J766" s="6" t="str">
        <f>'[1]V, inciso o) (OP)'!M379</f>
        <v>MELESIO</v>
      </c>
      <c r="K766" s="6" t="str">
        <f>'[1]V, inciso o) (OP)'!N379</f>
        <v>HERNÁNDEZ</v>
      </c>
      <c r="L766" s="6" t="str">
        <f>'[1]V, inciso o) (OP)'!O379</f>
        <v>MARTÍNEZ</v>
      </c>
      <c r="M766" s="6" t="s">
        <v>3153</v>
      </c>
      <c r="N766" s="6" t="str">
        <f>'[1]V, inciso o) (OP)'!Q379</f>
        <v>CVI980213UM6</v>
      </c>
      <c r="O766" s="11">
        <f t="shared" si="23"/>
        <v>817165.77</v>
      </c>
      <c r="P766" s="11">
        <v>697459.22</v>
      </c>
      <c r="Q766" s="14" t="s">
        <v>719</v>
      </c>
      <c r="R766" s="15">
        <f>H766/260</f>
        <v>3142.9452692307691</v>
      </c>
      <c r="S766" s="7" t="s">
        <v>41</v>
      </c>
      <c r="T766" s="12">
        <v>213</v>
      </c>
      <c r="U766" s="13" t="s">
        <v>42</v>
      </c>
      <c r="V766" s="7" t="s">
        <v>43</v>
      </c>
      <c r="W766" s="10">
        <f>'[1]V, inciso o) (OP)'!AD379</f>
        <v>43192</v>
      </c>
      <c r="X766" s="10">
        <f>'[1]V, inciso o) (OP)'!AE379</f>
        <v>43235</v>
      </c>
      <c r="Y766" s="7" t="s">
        <v>753</v>
      </c>
      <c r="Z766" s="7" t="s">
        <v>827</v>
      </c>
      <c r="AA766" s="7" t="s">
        <v>755</v>
      </c>
      <c r="AB766" s="21" t="s">
        <v>2384</v>
      </c>
      <c r="AC766" s="6" t="s">
        <v>2438</v>
      </c>
      <c r="AD766" s="6"/>
    </row>
    <row r="767" spans="1:30" ht="69.95" customHeight="1">
      <c r="A767" s="16">
        <v>134</v>
      </c>
      <c r="B767" s="7">
        <v>2018</v>
      </c>
      <c r="C767" s="7" t="s">
        <v>62</v>
      </c>
      <c r="D767" s="6" t="str">
        <f>'[1]V, inciso o) (OP)'!C380</f>
        <v>DOPI-MUN-RM-ELE-AD-134-2018</v>
      </c>
      <c r="E767" s="10">
        <f>'[1]V, inciso o) (OP)'!V380</f>
        <v>43203</v>
      </c>
      <c r="F767" s="6" t="str">
        <f>'[1]V, inciso o) (OP)'!AA380</f>
        <v>Red de electrificación de media tensión para el cárcamo de bombeo de aguas residuales ubicado en la colonia Lomas del Centinela, municipio de Zapopan, Jalisco.</v>
      </c>
      <c r="G767" s="6" t="s">
        <v>3341</v>
      </c>
      <c r="H767" s="25">
        <v>719246.56</v>
      </c>
      <c r="I767" s="6" t="s">
        <v>868</v>
      </c>
      <c r="J767" s="6" t="str">
        <f>'[1]V, inciso o) (OP)'!M380</f>
        <v>ARMANDO</v>
      </c>
      <c r="K767" s="6" t="str">
        <f>'[1]V, inciso o) (OP)'!N380</f>
        <v>ARROYO</v>
      </c>
      <c r="L767" s="6" t="str">
        <f>'[1]V, inciso o) (OP)'!O380</f>
        <v>ZEPEDA</v>
      </c>
      <c r="M767" s="6" t="s">
        <v>3269</v>
      </c>
      <c r="N767" s="6" t="str">
        <f>'[1]V, inciso o) (OP)'!Q380</f>
        <v>CEI000807E95</v>
      </c>
      <c r="O767" s="11">
        <f t="shared" si="23"/>
        <v>719246.56</v>
      </c>
      <c r="P767" s="11">
        <v>606140.18000000005</v>
      </c>
      <c r="Q767" s="14" t="s">
        <v>814</v>
      </c>
      <c r="R767" s="15">
        <f>H767/400</f>
        <v>1798.1164000000001</v>
      </c>
      <c r="S767" s="7" t="s">
        <v>41</v>
      </c>
      <c r="T767" s="12">
        <v>895</v>
      </c>
      <c r="U767" s="13" t="s">
        <v>42</v>
      </c>
      <c r="V767" s="7" t="s">
        <v>43</v>
      </c>
      <c r="W767" s="10">
        <f>'[1]V, inciso o) (OP)'!AD380</f>
        <v>43206</v>
      </c>
      <c r="X767" s="10">
        <f>'[1]V, inciso o) (OP)'!AE380</f>
        <v>43235</v>
      </c>
      <c r="Y767" s="7" t="s">
        <v>753</v>
      </c>
      <c r="Z767" s="7" t="s">
        <v>827</v>
      </c>
      <c r="AA767" s="7" t="s">
        <v>755</v>
      </c>
      <c r="AB767" s="21" t="s">
        <v>2385</v>
      </c>
      <c r="AC767" s="6" t="s">
        <v>2438</v>
      </c>
      <c r="AD767" s="6"/>
    </row>
    <row r="768" spans="1:30" ht="69.95" customHeight="1">
      <c r="A768" s="16">
        <v>135</v>
      </c>
      <c r="B768" s="7">
        <v>2018</v>
      </c>
      <c r="C768" s="7" t="s">
        <v>62</v>
      </c>
      <c r="D768" s="6" t="str">
        <f>'[1]V, inciso o) (OP)'!C381</f>
        <v>DOPI-MUN-RM-APDS-AD-135-2018</v>
      </c>
      <c r="E768" s="10">
        <f>'[1]V, inciso o) (OP)'!V381</f>
        <v>43175</v>
      </c>
      <c r="F768" s="6" t="str">
        <f>'[1]V, inciso o) (OP)'!AA381</f>
        <v>Construcción de línea de agua potable, drenaje sanitario y subestructura de pavimento en la Av. Palmira de Jazmin a Agua Azul, colonia La Palmira, municipio de Zapopan, Jalisco</v>
      </c>
      <c r="G768" s="6" t="s">
        <v>63</v>
      </c>
      <c r="H768" s="25">
        <v>1793654.36</v>
      </c>
      <c r="I768" s="6" t="s">
        <v>1288</v>
      </c>
      <c r="J768" s="6" t="str">
        <f>'[1]V, inciso o) (OP)'!M381</f>
        <v>J. GERARDO</v>
      </c>
      <c r="K768" s="6" t="str">
        <f>'[1]V, inciso o) (OP)'!N381</f>
        <v>NICANOR</v>
      </c>
      <c r="L768" s="6" t="str">
        <f>'[1]V, inciso o) (OP)'!O381</f>
        <v>MEJIA MARISCAL</v>
      </c>
      <c r="M768" s="6" t="s">
        <v>1886</v>
      </c>
      <c r="N768" s="6" t="str">
        <f>'[1]V, inciso o) (OP)'!Q381</f>
        <v>ICO980722MQ4</v>
      </c>
      <c r="O768" s="11">
        <f t="shared" si="23"/>
        <v>1793654.36</v>
      </c>
      <c r="P768" s="11">
        <v>1671761.27</v>
      </c>
      <c r="Q768" s="14" t="s">
        <v>1289</v>
      </c>
      <c r="R768" s="15">
        <f>H768/5602</f>
        <v>320.18107104605502</v>
      </c>
      <c r="S768" s="7" t="s">
        <v>41</v>
      </c>
      <c r="T768" s="12">
        <v>106</v>
      </c>
      <c r="U768" s="13" t="s">
        <v>42</v>
      </c>
      <c r="V768" s="7" t="s">
        <v>43</v>
      </c>
      <c r="W768" s="10">
        <f>'[1]V, inciso o) (OP)'!AD381</f>
        <v>43178</v>
      </c>
      <c r="X768" s="10">
        <f>'[1]V, inciso o) (OP)'!AE381</f>
        <v>43251</v>
      </c>
      <c r="Y768" s="7" t="s">
        <v>722</v>
      </c>
      <c r="Z768" s="7" t="s">
        <v>231</v>
      </c>
      <c r="AA768" s="7" t="s">
        <v>143</v>
      </c>
      <c r="AB768" s="21" t="s">
        <v>2386</v>
      </c>
      <c r="AC768" s="6" t="s">
        <v>2438</v>
      </c>
      <c r="AD768" s="6"/>
    </row>
    <row r="769" spans="1:30" ht="69.95" customHeight="1">
      <c r="A769" s="16">
        <v>136</v>
      </c>
      <c r="B769" s="7">
        <v>2018</v>
      </c>
      <c r="C769" s="7" t="s">
        <v>62</v>
      </c>
      <c r="D769" s="6" t="str">
        <f>'[1]V, inciso o) (OP)'!C382</f>
        <v>DOPI-MUN-RM-SERV-BACHEO-AD-136-2018</v>
      </c>
      <c r="E769" s="10">
        <f>'[1]V, inciso o) (OP)'!V382</f>
        <v>43187</v>
      </c>
      <c r="F769" s="6" t="str">
        <f>'[1]V, inciso o) (OP)'!AA382</f>
        <v>Control de calidad y muesteo de mezclas asfalticas en pavimentos para los trabajos de bacheo y calafateo 2018, municipio de Zapopan, Jalisco.</v>
      </c>
      <c r="G769" s="6" t="s">
        <v>63</v>
      </c>
      <c r="H769" s="25">
        <v>562104.06000000006</v>
      </c>
      <c r="I769" s="6" t="s">
        <v>1317</v>
      </c>
      <c r="J769" s="6" t="str">
        <f>'[1]V, inciso o) (OP)'!M382</f>
        <v>OMAR ALFREDO</v>
      </c>
      <c r="K769" s="6" t="str">
        <f>'[1]V, inciso o) (OP)'!N382</f>
        <v>MARTÍNEZ</v>
      </c>
      <c r="L769" s="6" t="str">
        <f>'[1]V, inciso o) (OP)'!O382</f>
        <v>GÓMEZ</v>
      </c>
      <c r="M769" s="6" t="s">
        <v>3264</v>
      </c>
      <c r="N769" s="6" t="str">
        <f>'[1]V, inciso o) (OP)'!Q382</f>
        <v>IMS060720JX9</v>
      </c>
      <c r="O769" s="11">
        <f t="shared" si="23"/>
        <v>562104.06000000006</v>
      </c>
      <c r="P769" s="11">
        <v>350960.94000000006</v>
      </c>
      <c r="Q769" s="14" t="s">
        <v>120</v>
      </c>
      <c r="R769" s="15" t="s">
        <v>120</v>
      </c>
      <c r="S769" s="7" t="s">
        <v>121</v>
      </c>
      <c r="T769" s="12" t="s">
        <v>121</v>
      </c>
      <c r="U769" s="13" t="s">
        <v>42</v>
      </c>
      <c r="V769" s="43" t="s">
        <v>43</v>
      </c>
      <c r="W769" s="10">
        <f>'[1]V, inciso o) (OP)'!AD382</f>
        <v>43192</v>
      </c>
      <c r="X769" s="10">
        <f>'[1]V, inciso o) (OP)'!AE382</f>
        <v>43281</v>
      </c>
      <c r="Y769" s="7" t="s">
        <v>691</v>
      </c>
      <c r="Z769" s="7" t="s">
        <v>481</v>
      </c>
      <c r="AA769" s="7" t="s">
        <v>104</v>
      </c>
      <c r="AB769" s="21" t="s">
        <v>2387</v>
      </c>
      <c r="AC769" s="6" t="s">
        <v>2438</v>
      </c>
      <c r="AD769" s="6"/>
    </row>
    <row r="770" spans="1:30" ht="69.95" customHeight="1">
      <c r="A770" s="16">
        <v>137</v>
      </c>
      <c r="B770" s="7">
        <v>2018</v>
      </c>
      <c r="C770" s="7" t="s">
        <v>62</v>
      </c>
      <c r="D770" s="6" t="str">
        <f>'[1]V, inciso o) (OP)'!C383</f>
        <v>DOPI-MUN-RM-DS-AD-137-2018</v>
      </c>
      <c r="E770" s="10">
        <f>'[1]V, inciso o) (OP)'!V383</f>
        <v>43203</v>
      </c>
      <c r="F770" s="6" t="str">
        <f>'[1]V, inciso o) (OP)'!AA383</f>
        <v>Obra complementaria para la terminación de red de drenaje sanitario en la calle Vista al Mirador de Puesta del Sol a Vista la Campiña, en la colonia Vista Hermosa, municipio de Zapopan, Jalisco.</v>
      </c>
      <c r="G770" s="6" t="s">
        <v>3341</v>
      </c>
      <c r="H770" s="25">
        <v>178291.17</v>
      </c>
      <c r="I770" s="6" t="s">
        <v>85</v>
      </c>
      <c r="J770" s="6" t="str">
        <f>'[1]V, inciso o) (OP)'!M383</f>
        <v>RAFAEL AUGUSTO</v>
      </c>
      <c r="K770" s="6" t="str">
        <f>'[1]V, inciso o) (OP)'!N383</f>
        <v>CABALLERO</v>
      </c>
      <c r="L770" s="6" t="str">
        <f>'[1]V, inciso o) (OP)'!O383</f>
        <v>QUIRARTE</v>
      </c>
      <c r="M770" s="6" t="s">
        <v>3043</v>
      </c>
      <c r="N770" s="6" t="str">
        <f>'[1]V, inciso o) (OP)'!Q383</f>
        <v>PAT110331HH0</v>
      </c>
      <c r="O770" s="11">
        <f t="shared" si="23"/>
        <v>178291.17</v>
      </c>
      <c r="P770" s="11">
        <v>178291.16</v>
      </c>
      <c r="Q770" s="14" t="s">
        <v>1128</v>
      </c>
      <c r="R770" s="15">
        <f>H770/65</f>
        <v>2742.9410769230772</v>
      </c>
      <c r="S770" s="7" t="s">
        <v>41</v>
      </c>
      <c r="T770" s="12">
        <v>121</v>
      </c>
      <c r="U770" s="13" t="s">
        <v>42</v>
      </c>
      <c r="V770" s="7" t="s">
        <v>43</v>
      </c>
      <c r="W770" s="10">
        <f>'[1]V, inciso o) (OP)'!AD383</f>
        <v>43206</v>
      </c>
      <c r="X770" s="10">
        <f>'[1]V, inciso o) (OP)'!AE383</f>
        <v>43235</v>
      </c>
      <c r="Y770" s="7" t="s">
        <v>808</v>
      </c>
      <c r="Z770" s="7" t="s">
        <v>809</v>
      </c>
      <c r="AA770" s="7" t="s">
        <v>94</v>
      </c>
      <c r="AB770" s="21" t="s">
        <v>2388</v>
      </c>
      <c r="AC770" s="6" t="s">
        <v>2438</v>
      </c>
      <c r="AD770" s="6"/>
    </row>
    <row r="771" spans="1:30" ht="69.95" customHeight="1">
      <c r="A771" s="16">
        <v>138</v>
      </c>
      <c r="B771" s="7">
        <v>2018</v>
      </c>
      <c r="C771" s="7" t="s">
        <v>62</v>
      </c>
      <c r="D771" s="6" t="str">
        <f>'[1]V, inciso o) (OP)'!C384</f>
        <v>DOPI-MUN-RM-IH-AD-138-2018</v>
      </c>
      <c r="E771" s="10">
        <f>'[1]V, inciso o) (OP)'!V384</f>
        <v>43220</v>
      </c>
      <c r="F771" s="32" t="str">
        <f>'[1]V, inciso o) (OP)'!AA384</f>
        <v>Construcción de bocas de tormenta, empedrado zampeado para protección de taludes de puentes peatonales, instalación de puente peatonal y obras complementarias en la calle Pinos entre Periodistas y Jacarandas, colonia El Centinela, municipio de Zapopan, Jalisco.</v>
      </c>
      <c r="G771" s="6" t="s">
        <v>63</v>
      </c>
      <c r="H771" s="25">
        <v>1728279.55</v>
      </c>
      <c r="I771" s="6" t="s">
        <v>1290</v>
      </c>
      <c r="J771" s="6" t="str">
        <f>'[1]V, inciso o) (OP)'!M384</f>
        <v>JOSÉ DE JESÚS</v>
      </c>
      <c r="K771" s="6" t="str">
        <f>'[1]V, inciso o) (OP)'!N384</f>
        <v>CÁRDENAS</v>
      </c>
      <c r="L771" s="6" t="str">
        <f>'[1]V, inciso o) (OP)'!O384</f>
        <v xml:space="preserve">SOLÍS </v>
      </c>
      <c r="M771" s="6" t="s">
        <v>3198</v>
      </c>
      <c r="N771" s="6" t="str">
        <f>'[1]V, inciso o) (OP)'!Q384</f>
        <v>CCE170517HW2</v>
      </c>
      <c r="O771" s="11">
        <f t="shared" si="23"/>
        <v>1728279.55</v>
      </c>
      <c r="P771" s="11">
        <f t="shared" ref="P771:P800" si="24">O771</f>
        <v>1728279.55</v>
      </c>
      <c r="Q771" s="14" t="s">
        <v>1180</v>
      </c>
      <c r="R771" s="15">
        <f>O771/700</f>
        <v>2468.9707857142857</v>
      </c>
      <c r="S771" s="7" t="s">
        <v>41</v>
      </c>
      <c r="T771" s="12">
        <v>2568</v>
      </c>
      <c r="U771" s="13" t="s">
        <v>42</v>
      </c>
      <c r="V771" s="7" t="s">
        <v>373</v>
      </c>
      <c r="W771" s="10">
        <f>'[1]V, inciso o) (OP)'!AD384</f>
        <v>43222</v>
      </c>
      <c r="X771" s="10">
        <f>'[1]V, inciso o) (OP)'!AE384</f>
        <v>43266</v>
      </c>
      <c r="Y771" s="7" t="s">
        <v>380</v>
      </c>
      <c r="Z771" s="7" t="s">
        <v>45</v>
      </c>
      <c r="AA771" s="7" t="s">
        <v>46</v>
      </c>
      <c r="AB771" s="21" t="s">
        <v>2389</v>
      </c>
      <c r="AC771" s="6" t="s">
        <v>2438</v>
      </c>
      <c r="AD771" s="6"/>
    </row>
    <row r="772" spans="1:30" ht="69.95" customHeight="1">
      <c r="A772" s="16">
        <v>139</v>
      </c>
      <c r="B772" s="7">
        <v>2018</v>
      </c>
      <c r="C772" s="7" t="s">
        <v>62</v>
      </c>
      <c r="D772" s="6" t="str">
        <f>'[1]V, inciso o) (OP)'!C385</f>
        <v>DOPI-MUN-RM-IH-AD-139-2018</v>
      </c>
      <c r="E772" s="10">
        <f>'[1]V, inciso o) (OP)'!V385</f>
        <v>43220</v>
      </c>
      <c r="F772" s="6" t="str">
        <f>'[1]V, inciso o) (OP)'!AA385</f>
        <v>Construcción de colector pluvial y boca de tormenta en Av. Pirul, Privada Pirul, Calle Naranjos y Misión del Bajío, colonia Rancho El Centinela, municipio de Zapopan, Jalisco.</v>
      </c>
      <c r="G772" s="6" t="s">
        <v>63</v>
      </c>
      <c r="H772" s="25">
        <v>922157.96</v>
      </c>
      <c r="I772" s="6" t="s">
        <v>1047</v>
      </c>
      <c r="J772" s="6" t="str">
        <f>'[1]V, inciso o) (OP)'!M385</f>
        <v>JUAN RAMÓN</v>
      </c>
      <c r="K772" s="6" t="str">
        <f>'[1]V, inciso o) (OP)'!N385</f>
        <v>RAMÍREZ</v>
      </c>
      <c r="L772" s="6" t="str">
        <f>'[1]V, inciso o) (OP)'!O385</f>
        <v>ALATORRE</v>
      </c>
      <c r="M772" s="6" t="s">
        <v>3073</v>
      </c>
      <c r="N772" s="6" t="str">
        <f>'[1]V, inciso o) (OP)'!Q385</f>
        <v>QGE080213988</v>
      </c>
      <c r="O772" s="11">
        <f t="shared" si="23"/>
        <v>922157.96</v>
      </c>
      <c r="P772" s="11">
        <v>878848.95</v>
      </c>
      <c r="Q772" s="14" t="s">
        <v>1291</v>
      </c>
      <c r="R772" s="15">
        <f>O772/269</f>
        <v>3428.0965055762081</v>
      </c>
      <c r="S772" s="7" t="s">
        <v>41</v>
      </c>
      <c r="T772" s="12">
        <v>362</v>
      </c>
      <c r="U772" s="13" t="s">
        <v>42</v>
      </c>
      <c r="V772" s="7" t="s">
        <v>43</v>
      </c>
      <c r="W772" s="10">
        <f>'[1]V, inciso o) (OP)'!AD385</f>
        <v>43222</v>
      </c>
      <c r="X772" s="10">
        <f>'[1]V, inciso o) (OP)'!AE385</f>
        <v>43257</v>
      </c>
      <c r="Y772" s="7" t="s">
        <v>380</v>
      </c>
      <c r="Z772" s="7" t="s">
        <v>45</v>
      </c>
      <c r="AA772" s="7" t="s">
        <v>46</v>
      </c>
      <c r="AB772" s="21" t="s">
        <v>2390</v>
      </c>
      <c r="AC772" s="6" t="s">
        <v>2438</v>
      </c>
      <c r="AD772" s="6"/>
    </row>
    <row r="773" spans="1:30" ht="69.95" customHeight="1">
      <c r="A773" s="16">
        <v>140</v>
      </c>
      <c r="B773" s="7">
        <v>2018</v>
      </c>
      <c r="C773" s="7" t="s">
        <v>62</v>
      </c>
      <c r="D773" s="6" t="str">
        <f>'[1]V, inciso o) (OP)'!C386</f>
        <v>DOPI-MUN-RM-IH-AD-140-2018</v>
      </c>
      <c r="E773" s="10">
        <f>'[1]V, inciso o) (OP)'!V386</f>
        <v>43220</v>
      </c>
      <c r="F773" s="6" t="str">
        <f>'[1]V, inciso o) (OP)'!AA386</f>
        <v>Rehabilitación de drenaje y agua potable en la calle Santa Mercedes, de San Carlos a San Felipe, en la colonia Tuzania Ejidal, municipio de Zapopan, Jalisco.</v>
      </c>
      <c r="G773" s="6" t="s">
        <v>63</v>
      </c>
      <c r="H773" s="25">
        <v>1795527.94</v>
      </c>
      <c r="I773" s="6" t="s">
        <v>1137</v>
      </c>
      <c r="J773" s="6" t="str">
        <f>'[1]V, inciso o) (OP)'!M386</f>
        <v xml:space="preserve">RODOLFO </v>
      </c>
      <c r="K773" s="6" t="str">
        <f>'[1]V, inciso o) (OP)'!N386</f>
        <v xml:space="preserve">VELAZQUEZ </v>
      </c>
      <c r="L773" s="6" t="str">
        <f>'[1]V, inciso o) (OP)'!O386</f>
        <v>ORDOÑEZ</v>
      </c>
      <c r="M773" s="6" t="s">
        <v>3065</v>
      </c>
      <c r="N773" s="6" t="str">
        <f>'[1]V, inciso o) (OP)'!Q386</f>
        <v>VIE110125RL4</v>
      </c>
      <c r="O773" s="11">
        <f t="shared" si="23"/>
        <v>1795527.94</v>
      </c>
      <c r="P773" s="11">
        <v>1742836.91</v>
      </c>
      <c r="Q773" s="14" t="s">
        <v>1292</v>
      </c>
      <c r="R773" s="15">
        <f>O773/253</f>
        <v>7096.9483794466405</v>
      </c>
      <c r="S773" s="7" t="s">
        <v>41</v>
      </c>
      <c r="T773" s="12">
        <v>398</v>
      </c>
      <c r="U773" s="13" t="s">
        <v>42</v>
      </c>
      <c r="V773" s="43" t="s">
        <v>43</v>
      </c>
      <c r="W773" s="10">
        <f>'[1]V, inciso o) (OP)'!AD386</f>
        <v>43222</v>
      </c>
      <c r="X773" s="10">
        <f>'[1]V, inciso o) (OP)'!AE386</f>
        <v>43281</v>
      </c>
      <c r="Y773" s="7" t="s">
        <v>815</v>
      </c>
      <c r="Z773" s="7" t="s">
        <v>816</v>
      </c>
      <c r="AA773" s="7" t="s">
        <v>130</v>
      </c>
      <c r="AB773" s="21" t="s">
        <v>2391</v>
      </c>
      <c r="AC773" s="6" t="s">
        <v>2438</v>
      </c>
      <c r="AD773" s="6"/>
    </row>
    <row r="774" spans="1:30" ht="69.95" customHeight="1">
      <c r="A774" s="16">
        <v>141</v>
      </c>
      <c r="B774" s="7">
        <v>2018</v>
      </c>
      <c r="C774" s="7" t="s">
        <v>62</v>
      </c>
      <c r="D774" s="6" t="str">
        <f>'[1]V, inciso o) (OP)'!C387</f>
        <v>DOPI-MUN-R33-IH-AD-141-2018</v>
      </c>
      <c r="E774" s="10">
        <f>'[1]V, inciso o) (OP)'!V387</f>
        <v>43231</v>
      </c>
      <c r="F774" s="6" t="str">
        <f>'[1]V, inciso o) (OP)'!AA387</f>
        <v>Rehabilitación de líneas de agua potable y drenaje en la colonia Indígena de Mezquitan 1° Sección, municipio de Zapopan, Jalisco.</v>
      </c>
      <c r="G774" s="6" t="s">
        <v>3334</v>
      </c>
      <c r="H774" s="25">
        <v>1472822.54</v>
      </c>
      <c r="I774" s="6" t="s">
        <v>1293</v>
      </c>
      <c r="J774" s="6" t="str">
        <f>'[1]V, inciso o) (OP)'!M387</f>
        <v>FREDDY ISAAC</v>
      </c>
      <c r="K774" s="6" t="str">
        <f>'[1]V, inciso o) (OP)'!N387</f>
        <v>MIRANDA</v>
      </c>
      <c r="L774" s="6" t="str">
        <f>'[1]V, inciso o) (OP)'!O387</f>
        <v>HERNÁNDEZ</v>
      </c>
      <c r="M774" s="6" t="s">
        <v>3273</v>
      </c>
      <c r="N774" s="6" t="str">
        <f>'[1]V, inciso o) (OP)'!Q387</f>
        <v>MCO17080484A</v>
      </c>
      <c r="O774" s="11">
        <f t="shared" si="23"/>
        <v>1472822.54</v>
      </c>
      <c r="P774" s="11">
        <v>1390588.3800000001</v>
      </c>
      <c r="Q774" s="14" t="s">
        <v>1294</v>
      </c>
      <c r="R774" s="15">
        <f>O774/110</f>
        <v>13389.295818181819</v>
      </c>
      <c r="S774" s="7" t="s">
        <v>41</v>
      </c>
      <c r="T774" s="12">
        <v>203</v>
      </c>
      <c r="U774" s="13" t="s">
        <v>42</v>
      </c>
      <c r="V774" s="7" t="s">
        <v>43</v>
      </c>
      <c r="W774" s="10">
        <f>'[1]V, inciso o) (OP)'!AD387</f>
        <v>43234</v>
      </c>
      <c r="X774" s="10">
        <f>'[1]V, inciso o) (OP)'!AE387</f>
        <v>43312</v>
      </c>
      <c r="Y774" s="7" t="s">
        <v>815</v>
      </c>
      <c r="Z774" s="7" t="s">
        <v>816</v>
      </c>
      <c r="AA774" s="7" t="s">
        <v>130</v>
      </c>
      <c r="AB774" s="21" t="s">
        <v>2392</v>
      </c>
      <c r="AC774" s="6" t="s">
        <v>2438</v>
      </c>
      <c r="AD774" s="6"/>
    </row>
    <row r="775" spans="1:30" ht="69.95" customHeight="1">
      <c r="A775" s="16"/>
      <c r="B775" s="7">
        <v>2018</v>
      </c>
      <c r="C775" s="7" t="s">
        <v>31</v>
      </c>
      <c r="D775" s="6" t="s">
        <v>1597</v>
      </c>
      <c r="E775" s="10">
        <v>43297</v>
      </c>
      <c r="F775" s="32" t="s">
        <v>1699</v>
      </c>
      <c r="G775" s="6" t="s">
        <v>3342</v>
      </c>
      <c r="H775" s="25">
        <v>8005874.6799999997</v>
      </c>
      <c r="I775" s="6" t="s">
        <v>751</v>
      </c>
      <c r="J775" s="6" t="s">
        <v>1700</v>
      </c>
      <c r="K775" s="6" t="s">
        <v>1701</v>
      </c>
      <c r="L775" s="6" t="s">
        <v>1702</v>
      </c>
      <c r="M775" s="6" t="s">
        <v>1703</v>
      </c>
      <c r="N775" s="6" t="s">
        <v>1704</v>
      </c>
      <c r="O775" s="11">
        <v>8005874.6799999997</v>
      </c>
      <c r="P775" s="11">
        <v>8005874.6799999997</v>
      </c>
      <c r="Q775" s="14" t="s">
        <v>1692</v>
      </c>
      <c r="R775" s="15">
        <v>2300.5387011494254</v>
      </c>
      <c r="S775" s="7" t="s">
        <v>41</v>
      </c>
      <c r="T775" s="12">
        <v>239877</v>
      </c>
      <c r="U775" s="13" t="s">
        <v>42</v>
      </c>
      <c r="V775" s="43" t="s">
        <v>43</v>
      </c>
      <c r="W775" s="10">
        <v>43297</v>
      </c>
      <c r="X775" s="10">
        <v>43368</v>
      </c>
      <c r="Y775" s="7" t="s">
        <v>431</v>
      </c>
      <c r="Z775" s="7" t="s">
        <v>181</v>
      </c>
      <c r="AA775" s="7" t="s">
        <v>89</v>
      </c>
      <c r="AB775" s="21" t="s">
        <v>2793</v>
      </c>
      <c r="AC775" s="6" t="s">
        <v>2438</v>
      </c>
      <c r="AD775" s="6"/>
    </row>
    <row r="776" spans="1:30" ht="69.95" customHeight="1">
      <c r="A776" s="16"/>
      <c r="B776" s="7">
        <v>2018</v>
      </c>
      <c r="C776" s="7" t="s">
        <v>31</v>
      </c>
      <c r="D776" s="6" t="s">
        <v>1598</v>
      </c>
      <c r="E776" s="10">
        <v>43297</v>
      </c>
      <c r="F776" s="32" t="s">
        <v>1705</v>
      </c>
      <c r="G776" s="6" t="s">
        <v>3342</v>
      </c>
      <c r="H776" s="25">
        <v>5988976.1799999997</v>
      </c>
      <c r="I776" s="6" t="s">
        <v>751</v>
      </c>
      <c r="J776" s="6" t="s">
        <v>1706</v>
      </c>
      <c r="K776" s="6" t="s">
        <v>1707</v>
      </c>
      <c r="L776" s="6" t="s">
        <v>1708</v>
      </c>
      <c r="M776" s="6" t="s">
        <v>1709</v>
      </c>
      <c r="N776" s="6" t="s">
        <v>1710</v>
      </c>
      <c r="O776" s="11">
        <v>5988976.1799999997</v>
      </c>
      <c r="P776" s="11">
        <v>5423662.1699999999</v>
      </c>
      <c r="Q776" s="14" t="s">
        <v>923</v>
      </c>
      <c r="R776" s="15">
        <v>2268.5515833333334</v>
      </c>
      <c r="S776" s="7" t="s">
        <v>41</v>
      </c>
      <c r="T776" s="12">
        <v>239877</v>
      </c>
      <c r="U776" s="13" t="s">
        <v>42</v>
      </c>
      <c r="V776" s="43" t="s">
        <v>43</v>
      </c>
      <c r="W776" s="10">
        <v>43297</v>
      </c>
      <c r="X776" s="10">
        <v>43368</v>
      </c>
      <c r="Y776" s="7" t="s">
        <v>431</v>
      </c>
      <c r="Z776" s="7" t="s">
        <v>181</v>
      </c>
      <c r="AA776" s="7" t="s">
        <v>89</v>
      </c>
      <c r="AB776" s="21" t="s">
        <v>2794</v>
      </c>
      <c r="AC776" s="6" t="s">
        <v>2438</v>
      </c>
      <c r="AD776" s="6"/>
    </row>
    <row r="777" spans="1:30" ht="69.95" customHeight="1">
      <c r="A777" s="16"/>
      <c r="B777" s="7">
        <v>2018</v>
      </c>
      <c r="C777" s="7" t="s">
        <v>31</v>
      </c>
      <c r="D777" s="6" t="s">
        <v>1599</v>
      </c>
      <c r="E777" s="10">
        <v>43297</v>
      </c>
      <c r="F777" s="32" t="s">
        <v>1711</v>
      </c>
      <c r="G777" s="6" t="s">
        <v>3342</v>
      </c>
      <c r="H777" s="25">
        <v>5788492.3099999996</v>
      </c>
      <c r="I777" s="6" t="s">
        <v>751</v>
      </c>
      <c r="J777" s="6" t="s">
        <v>1712</v>
      </c>
      <c r="K777" s="6" t="s">
        <v>1713</v>
      </c>
      <c r="L777" s="6" t="s">
        <v>1714</v>
      </c>
      <c r="M777" s="6" t="s">
        <v>1715</v>
      </c>
      <c r="N777" s="6" t="s">
        <v>1716</v>
      </c>
      <c r="O777" s="11">
        <v>5788492.3099999996</v>
      </c>
      <c r="P777" s="11">
        <v>5440958.3800000008</v>
      </c>
      <c r="Q777" s="14" t="s">
        <v>1693</v>
      </c>
      <c r="R777" s="15">
        <v>2085.9431747747744</v>
      </c>
      <c r="S777" s="7" t="s">
        <v>41</v>
      </c>
      <c r="T777" s="12">
        <v>239877</v>
      </c>
      <c r="U777" s="13" t="s">
        <v>42</v>
      </c>
      <c r="V777" s="43" t="s">
        <v>43</v>
      </c>
      <c r="W777" s="10">
        <v>43297</v>
      </c>
      <c r="X777" s="10">
        <v>43368</v>
      </c>
      <c r="Y777" s="7" t="s">
        <v>431</v>
      </c>
      <c r="Z777" s="7" t="s">
        <v>181</v>
      </c>
      <c r="AA777" s="7" t="s">
        <v>89</v>
      </c>
      <c r="AB777" s="21" t="s">
        <v>2795</v>
      </c>
      <c r="AC777" s="6" t="s">
        <v>2438</v>
      </c>
      <c r="AD777" s="6"/>
    </row>
    <row r="778" spans="1:30" ht="69.95" customHeight="1">
      <c r="A778" s="16"/>
      <c r="B778" s="7">
        <v>2018</v>
      </c>
      <c r="C778" s="7" t="s">
        <v>31</v>
      </c>
      <c r="D778" s="6" t="s">
        <v>1600</v>
      </c>
      <c r="E778" s="10">
        <v>43297</v>
      </c>
      <c r="F778" s="32" t="s">
        <v>1717</v>
      </c>
      <c r="G778" s="6" t="s">
        <v>3342</v>
      </c>
      <c r="H778" s="25">
        <v>8178432.5199999996</v>
      </c>
      <c r="I778" s="6" t="s">
        <v>1718</v>
      </c>
      <c r="J778" s="6" t="s">
        <v>1719</v>
      </c>
      <c r="K778" s="6" t="s">
        <v>1720</v>
      </c>
      <c r="L778" s="6" t="s">
        <v>1721</v>
      </c>
      <c r="M778" s="6" t="s">
        <v>1722</v>
      </c>
      <c r="N778" s="6" t="s">
        <v>343</v>
      </c>
      <c r="O778" s="11">
        <v>8178432.5199999996</v>
      </c>
      <c r="P778" s="11">
        <v>8178432.5099999998</v>
      </c>
      <c r="Q778" s="14" t="s">
        <v>1694</v>
      </c>
      <c r="R778" s="15">
        <v>2151.6528597737438</v>
      </c>
      <c r="S778" s="7" t="s">
        <v>41</v>
      </c>
      <c r="T778" s="12">
        <v>262158</v>
      </c>
      <c r="U778" s="13" t="s">
        <v>42</v>
      </c>
      <c r="V778" s="43" t="s">
        <v>43</v>
      </c>
      <c r="W778" s="10">
        <v>43297</v>
      </c>
      <c r="X778" s="10">
        <v>43368</v>
      </c>
      <c r="Y778" s="7" t="s">
        <v>431</v>
      </c>
      <c r="Z778" s="7" t="s">
        <v>181</v>
      </c>
      <c r="AA778" s="7" t="s">
        <v>89</v>
      </c>
      <c r="AB778" s="21" t="s">
        <v>2796</v>
      </c>
      <c r="AC778" s="6" t="s">
        <v>2438</v>
      </c>
      <c r="AD778" s="6"/>
    </row>
    <row r="779" spans="1:30" ht="69.95" customHeight="1">
      <c r="A779" s="16"/>
      <c r="B779" s="7">
        <v>2018</v>
      </c>
      <c r="C779" s="7" t="s">
        <v>31</v>
      </c>
      <c r="D779" s="6" t="s">
        <v>1601</v>
      </c>
      <c r="E779" s="10">
        <v>43297</v>
      </c>
      <c r="F779" s="32" t="s">
        <v>1723</v>
      </c>
      <c r="G779" s="6" t="s">
        <v>3342</v>
      </c>
      <c r="H779" s="25">
        <v>8137606.2599999998</v>
      </c>
      <c r="I779" s="6" t="s">
        <v>1718</v>
      </c>
      <c r="J779" s="6" t="s">
        <v>1724</v>
      </c>
      <c r="K779" s="6" t="s">
        <v>1725</v>
      </c>
      <c r="L779" s="6" t="s">
        <v>1726</v>
      </c>
      <c r="M779" s="6" t="s">
        <v>1727</v>
      </c>
      <c r="N779" s="6" t="s">
        <v>1728</v>
      </c>
      <c r="O779" s="11">
        <v>7486762.5300000003</v>
      </c>
      <c r="P779" s="11">
        <v>8137606.25</v>
      </c>
      <c r="Q779" s="14" t="s">
        <v>1695</v>
      </c>
      <c r="R779" s="15">
        <v>1919.6827000000001</v>
      </c>
      <c r="S779" s="7" t="s">
        <v>41</v>
      </c>
      <c r="T779" s="12">
        <v>262158</v>
      </c>
      <c r="U779" s="13" t="s">
        <v>42</v>
      </c>
      <c r="V779" s="43" t="s">
        <v>43</v>
      </c>
      <c r="W779" s="10">
        <v>43297</v>
      </c>
      <c r="X779" s="10">
        <v>43368</v>
      </c>
      <c r="Y779" s="7" t="s">
        <v>552</v>
      </c>
      <c r="Z779" s="7" t="s">
        <v>1696</v>
      </c>
      <c r="AA779" s="7" t="s">
        <v>1697</v>
      </c>
      <c r="AB779" s="21" t="s">
        <v>2797</v>
      </c>
      <c r="AC779" s="6" t="s">
        <v>2438</v>
      </c>
      <c r="AD779" s="6"/>
    </row>
    <row r="780" spans="1:30" ht="69.95" customHeight="1">
      <c r="A780" s="16"/>
      <c r="B780" s="7">
        <v>2018</v>
      </c>
      <c r="C780" s="7" t="s">
        <v>31</v>
      </c>
      <c r="D780" s="6" t="s">
        <v>1602</v>
      </c>
      <c r="E780" s="10">
        <v>43297</v>
      </c>
      <c r="F780" s="32" t="s">
        <v>1729</v>
      </c>
      <c r="G780" s="6" t="s">
        <v>3342</v>
      </c>
      <c r="H780" s="25">
        <v>7809826.0599999996</v>
      </c>
      <c r="I780" s="6" t="s">
        <v>1718</v>
      </c>
      <c r="J780" s="6" t="s">
        <v>1680</v>
      </c>
      <c r="K780" s="6" t="s">
        <v>1681</v>
      </c>
      <c r="L780" s="6" t="s">
        <v>1682</v>
      </c>
      <c r="M780" s="6" t="s">
        <v>1683</v>
      </c>
      <c r="N780" s="6" t="s">
        <v>1684</v>
      </c>
      <c r="O780" s="11">
        <v>7809826.0599999996</v>
      </c>
      <c r="P780" s="11">
        <v>7712836.2699999996</v>
      </c>
      <c r="Q780" s="14" t="s">
        <v>1698</v>
      </c>
      <c r="R780" s="15">
        <v>2331.2913611940298</v>
      </c>
      <c r="S780" s="7" t="s">
        <v>41</v>
      </c>
      <c r="T780" s="12">
        <v>262158</v>
      </c>
      <c r="U780" s="13" t="s">
        <v>42</v>
      </c>
      <c r="V780" s="43" t="s">
        <v>43</v>
      </c>
      <c r="W780" s="10">
        <v>43297</v>
      </c>
      <c r="X780" s="10">
        <v>43368</v>
      </c>
      <c r="Y780" s="7" t="s">
        <v>552</v>
      </c>
      <c r="Z780" s="7" t="s">
        <v>1696</v>
      </c>
      <c r="AA780" s="7" t="s">
        <v>1697</v>
      </c>
      <c r="AB780" s="21" t="s">
        <v>2798</v>
      </c>
      <c r="AC780" s="6" t="s">
        <v>2438</v>
      </c>
      <c r="AD780" s="6"/>
    </row>
    <row r="781" spans="1:30" ht="69.95" customHeight="1">
      <c r="A781" s="16">
        <v>148</v>
      </c>
      <c r="B781" s="7">
        <v>2018</v>
      </c>
      <c r="C781" s="6" t="str">
        <f>'[1]V, inciso p) (OP)'!B399</f>
        <v>Licitación por Invitación Restringida</v>
      </c>
      <c r="D781" s="6" t="str">
        <f>'[1]V, inciso p) (OP)'!D399</f>
        <v>DOPI-MUN-RM-CONT-CI-148-2018</v>
      </c>
      <c r="E781" s="10">
        <f>'[1]V, inciso p) (OP)'!AD399</f>
        <v>43262</v>
      </c>
      <c r="F781" s="32" t="str">
        <f>'[1]V, inciso p) (OP)'!AL399</f>
        <v>Sistema de estabilización de taludes mediante el sistema de anclajes y recubrimiento de concreto lanzado, sobre la Lateral Poniente de Periférico de Prolongación Av. Central Guillermo González Camarena a calle 5 de Mayo, municipio de Zapopan, Jalisco.</v>
      </c>
      <c r="G781" s="6" t="s">
        <v>63</v>
      </c>
      <c r="H781" s="25">
        <v>7316456.6799999997</v>
      </c>
      <c r="I781" s="6" t="str">
        <f>'[1]V, inciso p) (OP)'!AS399</f>
        <v>Colonia Poniente</v>
      </c>
      <c r="J781" s="6" t="str">
        <f>'[1]V, inciso p) (OP)'!T399</f>
        <v>RODRIGO</v>
      </c>
      <c r="K781" s="6" t="str">
        <f>'[1]V, inciso p) (OP)'!U399</f>
        <v>RAMOS</v>
      </c>
      <c r="L781" s="6" t="str">
        <f>'[1]V, inciso p) (OP)'!V399</f>
        <v>GARIBI</v>
      </c>
      <c r="M781" s="6" t="s">
        <v>3177</v>
      </c>
      <c r="N781" s="6" t="str">
        <f>'[1]V, inciso p) (OP)'!X399</f>
        <v>CMA070307RU6</v>
      </c>
      <c r="O781" s="11">
        <f t="shared" ref="O781:O789" si="25">H781</f>
        <v>7316456.6799999997</v>
      </c>
      <c r="P781" s="11">
        <v>7220451.7400000002</v>
      </c>
      <c r="Q781" s="19" t="s">
        <v>1295</v>
      </c>
      <c r="R781" s="15">
        <f>O781/3255</f>
        <v>2247.7593486943165</v>
      </c>
      <c r="S781" s="7" t="s">
        <v>41</v>
      </c>
      <c r="T781" s="12">
        <v>369802</v>
      </c>
      <c r="U781" s="13" t="s">
        <v>42</v>
      </c>
      <c r="V781" s="7" t="s">
        <v>43</v>
      </c>
      <c r="W781" s="10">
        <f>'[1]V, inciso p) (OP)'!AM399</f>
        <v>43262</v>
      </c>
      <c r="X781" s="10">
        <f>'[1]V, inciso p) (OP)'!AN399</f>
        <v>43296</v>
      </c>
      <c r="Y781" s="7" t="s">
        <v>317</v>
      </c>
      <c r="Z781" s="7" t="s">
        <v>191</v>
      </c>
      <c r="AA781" s="7" t="s">
        <v>192</v>
      </c>
      <c r="AB781" s="21" t="s">
        <v>2505</v>
      </c>
      <c r="AC781" s="6" t="s">
        <v>2438</v>
      </c>
      <c r="AD781" s="6"/>
    </row>
    <row r="782" spans="1:30" ht="69.95" customHeight="1">
      <c r="A782" s="16">
        <v>149</v>
      </c>
      <c r="B782" s="7">
        <v>2018</v>
      </c>
      <c r="C782" s="6" t="str">
        <f>'[1]V, inciso p) (OP)'!B400</f>
        <v>Licitación por Invitación Restringida</v>
      </c>
      <c r="D782" s="6" t="str">
        <f>'[1]V, inciso p) (OP)'!D400</f>
        <v>DOPI-MUN-RM-IH-CI-149-2018</v>
      </c>
      <c r="E782" s="10">
        <f>'[1]V, inciso p) (OP)'!AD400</f>
        <v>43262</v>
      </c>
      <c r="F782" s="6" t="str">
        <f>'[1]V, inciso p) (OP)'!AL400</f>
        <v>Perforación y equipamiento de pozo profundo El Briseño, ubicado en la colonia El Briseño, municipio de Zapopan, Jalisco.</v>
      </c>
      <c r="G782" s="6" t="s">
        <v>63</v>
      </c>
      <c r="H782" s="25">
        <v>6495302.6200000001</v>
      </c>
      <c r="I782" s="6" t="str">
        <f>'[1]V, inciso p) (OP)'!AS400</f>
        <v>Colonia El Briseño</v>
      </c>
      <c r="J782" s="6" t="str">
        <f>'[1]V, inciso p) (OP)'!T400</f>
        <v>KARLA MARÍANA</v>
      </c>
      <c r="K782" s="6" t="str">
        <f>'[1]V, inciso p) (OP)'!U400</f>
        <v>MÉNDEZ</v>
      </c>
      <c r="L782" s="6" t="str">
        <f>'[1]V, inciso p) (OP)'!V400</f>
        <v>RODRÍGUEZ</v>
      </c>
      <c r="M782" s="6" t="s">
        <v>3151</v>
      </c>
      <c r="N782" s="6" t="str">
        <f>'[1]V, inciso p) (OP)'!X400</f>
        <v>GFU021009BC1</v>
      </c>
      <c r="O782" s="11">
        <f t="shared" si="25"/>
        <v>6495302.6200000001</v>
      </c>
      <c r="P782" s="11">
        <v>6089456.3399999999</v>
      </c>
      <c r="Q782" s="19" t="s">
        <v>499</v>
      </c>
      <c r="R782" s="15">
        <f>O782</f>
        <v>6495302.6200000001</v>
      </c>
      <c r="S782" s="7" t="s">
        <v>41</v>
      </c>
      <c r="T782" s="12">
        <v>697</v>
      </c>
      <c r="U782" s="13" t="s">
        <v>42</v>
      </c>
      <c r="V782" s="7" t="s">
        <v>43</v>
      </c>
      <c r="W782" s="10">
        <f>'[1]V, inciso p) (OP)'!AM400</f>
        <v>43262</v>
      </c>
      <c r="X782" s="10">
        <f>'[1]V, inciso p) (OP)'!AN400</f>
        <v>43343</v>
      </c>
      <c r="Y782" s="7" t="s">
        <v>431</v>
      </c>
      <c r="Z782" s="7" t="s">
        <v>181</v>
      </c>
      <c r="AA782" s="7" t="s">
        <v>89</v>
      </c>
      <c r="AB782" s="21" t="s">
        <v>2506</v>
      </c>
      <c r="AC782" s="6" t="s">
        <v>2438</v>
      </c>
      <c r="AD782" s="6"/>
    </row>
    <row r="783" spans="1:30" ht="69.95" customHeight="1">
      <c r="A783" s="16">
        <v>150</v>
      </c>
      <c r="B783" s="7">
        <v>2018</v>
      </c>
      <c r="C783" s="6" t="str">
        <f>'[1]V, inciso p) (OP)'!B401</f>
        <v>Licitación por Invitación Restringida</v>
      </c>
      <c r="D783" s="6" t="str">
        <f>'[1]V, inciso p) (OP)'!D401</f>
        <v>DOPI-MUN-RM-PAV-CI-150-2018</v>
      </c>
      <c r="E783" s="10">
        <f>'[1]V, inciso p) (OP)'!AD401</f>
        <v>43262</v>
      </c>
      <c r="F783" s="6" t="str">
        <f>'[1]V, inciso p) (OP)'!AL401</f>
        <v>Construcción de pavimento de concreto hidráulico, incluye: guarniciones, banquetas, señalamiento vertical y horizontal y servicios complementarios en Av. Palmira de Jazmín a Palmitas, colonia La Palmira, municipio de Zapopan, Jalisco.</v>
      </c>
      <c r="G783" s="6" t="s">
        <v>63</v>
      </c>
      <c r="H783" s="25">
        <v>5904431.8300000001</v>
      </c>
      <c r="I783" s="6" t="str">
        <f>'[1]V, inciso p) (OP)'!AS401</f>
        <v>Colonia La Palmira</v>
      </c>
      <c r="J783" s="6" t="str">
        <f>'[1]V, inciso p) (OP)'!T401</f>
        <v>JORGE LUIS</v>
      </c>
      <c r="K783" s="6" t="str">
        <f>'[1]V, inciso p) (OP)'!U401</f>
        <v>MARISCAL</v>
      </c>
      <c r="L783" s="6" t="str">
        <f>'[1]V, inciso p) (OP)'!V401</f>
        <v>TORRES</v>
      </c>
      <c r="M783" s="6" t="s">
        <v>1869</v>
      </c>
      <c r="N783" s="6" t="str">
        <f>'[1]V, inciso p) (OP)'!X401</f>
        <v>BEC0906257J5</v>
      </c>
      <c r="O783" s="11">
        <f t="shared" si="25"/>
        <v>5904431.8300000001</v>
      </c>
      <c r="P783" s="11">
        <v>5815677.1999999993</v>
      </c>
      <c r="Q783" s="19" t="s">
        <v>1296</v>
      </c>
      <c r="R783" s="15">
        <f>O783/4775</f>
        <v>1236.5302261780105</v>
      </c>
      <c r="S783" s="7" t="s">
        <v>41</v>
      </c>
      <c r="T783" s="12">
        <v>1267</v>
      </c>
      <c r="U783" s="13" t="s">
        <v>42</v>
      </c>
      <c r="V783" s="7" t="s">
        <v>43</v>
      </c>
      <c r="W783" s="10">
        <f>'[1]V, inciso p) (OP)'!AM401</f>
        <v>43262</v>
      </c>
      <c r="X783" s="10">
        <f>'[1]V, inciso p) (OP)'!AN401</f>
        <v>43311</v>
      </c>
      <c r="Y783" s="7" t="s">
        <v>722</v>
      </c>
      <c r="Z783" s="7" t="s">
        <v>231</v>
      </c>
      <c r="AA783" s="7" t="s">
        <v>143</v>
      </c>
      <c r="AB783" s="21" t="s">
        <v>2507</v>
      </c>
      <c r="AC783" s="6" t="s">
        <v>2438</v>
      </c>
      <c r="AD783" s="6"/>
    </row>
    <row r="784" spans="1:30" ht="69.95" customHeight="1">
      <c r="A784" s="16">
        <v>151</v>
      </c>
      <c r="B784" s="7">
        <v>2018</v>
      </c>
      <c r="C784" s="7" t="s">
        <v>62</v>
      </c>
      <c r="D784" s="6" t="str">
        <f>'[1]V, inciso o) (OP)'!C388</f>
        <v>DOPI-MUN-RM-IH-AD-151-2018</v>
      </c>
      <c r="E784" s="10">
        <f>'[1]V, inciso o) (OP)'!V388</f>
        <v>43231</v>
      </c>
      <c r="F784" s="6" t="str">
        <f>'[1]V, inciso o) (OP)'!AA388</f>
        <v>Construcción de drenaje sanitario y red de agua potable en la Av. General Ramón Corona, en la zona de La Mojonera, municipio de Zapopan, Jalisco.</v>
      </c>
      <c r="G784" s="6" t="s">
        <v>63</v>
      </c>
      <c r="H784" s="25">
        <v>1811019.82</v>
      </c>
      <c r="I784" s="6" t="s">
        <v>1297</v>
      </c>
      <c r="J784" s="6" t="str">
        <f>'[1]V, inciso o) (OP)'!M388</f>
        <v>SERGIO CESAR</v>
      </c>
      <c r="K784" s="6" t="str">
        <f>'[1]V, inciso o) (OP)'!N388</f>
        <v>DÍAZ</v>
      </c>
      <c r="L784" s="6" t="str">
        <f>'[1]V, inciso o) (OP)'!O388</f>
        <v>QUIROZ</v>
      </c>
      <c r="M784" s="6" t="s">
        <v>1703</v>
      </c>
      <c r="N784" s="6" t="str">
        <f>'[1]V, inciso o) (OP)'!Q388</f>
        <v>GUN880613NY1</v>
      </c>
      <c r="O784" s="11">
        <f t="shared" si="25"/>
        <v>1811019.82</v>
      </c>
      <c r="P784" s="11">
        <v>1811019.81</v>
      </c>
      <c r="Q784" s="14" t="s">
        <v>91</v>
      </c>
      <c r="R784" s="15">
        <f>O784/440</f>
        <v>4115.9541363636363</v>
      </c>
      <c r="S784" s="7" t="s">
        <v>41</v>
      </c>
      <c r="T784" s="12">
        <v>6321</v>
      </c>
      <c r="U784" s="13" t="s">
        <v>42</v>
      </c>
      <c r="V784" s="7" t="s">
        <v>43</v>
      </c>
      <c r="W784" s="10">
        <f>'[1]V, inciso o) (OP)'!AD388</f>
        <v>43234</v>
      </c>
      <c r="X784" s="10">
        <f>'[1]V, inciso o) (OP)'!AE388</f>
        <v>43266</v>
      </c>
      <c r="Y784" s="7" t="s">
        <v>394</v>
      </c>
      <c r="Z784" s="7" t="s">
        <v>279</v>
      </c>
      <c r="AA784" s="7" t="s">
        <v>78</v>
      </c>
      <c r="AB784" s="21" t="s">
        <v>2393</v>
      </c>
      <c r="AC784" s="6" t="s">
        <v>2438</v>
      </c>
      <c r="AD784" s="6"/>
    </row>
    <row r="785" spans="1:30" ht="69.95" customHeight="1">
      <c r="A785" s="16">
        <v>152</v>
      </c>
      <c r="B785" s="7">
        <v>2018</v>
      </c>
      <c r="C785" s="7" t="s">
        <v>62</v>
      </c>
      <c r="D785" s="6" t="str">
        <f>'[1]V, inciso o) (OP)'!C389</f>
        <v>DOPI-MUN-RM-PAV-AD-152-2018</v>
      </c>
      <c r="E785" s="10">
        <f>'[1]V, inciso o) (OP)'!V389</f>
        <v>43231</v>
      </c>
      <c r="F785" s="32" t="str">
        <f>'[1]V, inciso o) (OP)'!AA389</f>
        <v>Pavimentación con concreto hidráulico, incluye: banquetas, peatonalización, red de drenaje sanitario, señalamiento y obras complementarias en la calle Santa Mercedez de la Av. Jesús a San Felipe, colonia Tuzania Ejidal, en el municipio de Zapopan, Jalisco, frente 2.</v>
      </c>
      <c r="G785" s="6" t="s">
        <v>63</v>
      </c>
      <c r="H785" s="25">
        <v>1713723.02</v>
      </c>
      <c r="I785" s="6" t="s">
        <v>1137</v>
      </c>
      <c r="J785" s="6" t="str">
        <f>'[1]V, inciso o) (OP)'!M389</f>
        <v>LAURA LILIA</v>
      </c>
      <c r="K785" s="6" t="str">
        <f>'[1]V, inciso o) (OP)'!N389</f>
        <v>ARELLANO</v>
      </c>
      <c r="L785" s="6" t="str">
        <f>'[1]V, inciso o) (OP)'!O389</f>
        <v>CERNA</v>
      </c>
      <c r="M785" s="6" t="s">
        <v>3250</v>
      </c>
      <c r="N785" s="6" t="str">
        <f>'[1]V, inciso o) (OP)'!Q389</f>
        <v>CEI120724PR2</v>
      </c>
      <c r="O785" s="11">
        <f t="shared" si="25"/>
        <v>1713723.02</v>
      </c>
      <c r="P785" s="11">
        <v>1406568.55</v>
      </c>
      <c r="Q785" s="14" t="s">
        <v>1298</v>
      </c>
      <c r="R785" s="15">
        <f>O785/4782</f>
        <v>358.36951484734419</v>
      </c>
      <c r="S785" s="7" t="s">
        <v>41</v>
      </c>
      <c r="T785" s="12">
        <v>2569</v>
      </c>
      <c r="U785" s="13" t="s">
        <v>42</v>
      </c>
      <c r="V785" s="7" t="s">
        <v>43</v>
      </c>
      <c r="W785" s="10">
        <f>'[1]V, inciso o) (OP)'!AD389</f>
        <v>43235</v>
      </c>
      <c r="X785" s="10">
        <f>'[1]V, inciso o) (OP)'!AE389</f>
        <v>43296</v>
      </c>
      <c r="Y785" s="7" t="s">
        <v>436</v>
      </c>
      <c r="Z785" s="7" t="s">
        <v>437</v>
      </c>
      <c r="AA785" s="7" t="s">
        <v>362</v>
      </c>
      <c r="AB785" s="21" t="s">
        <v>2394</v>
      </c>
      <c r="AC785" s="6" t="s">
        <v>2438</v>
      </c>
      <c r="AD785" s="6"/>
    </row>
    <row r="786" spans="1:30" ht="69.95" customHeight="1">
      <c r="A786" s="16">
        <v>153</v>
      </c>
      <c r="B786" s="7">
        <v>2018</v>
      </c>
      <c r="C786" s="7" t="s">
        <v>62</v>
      </c>
      <c r="D786" s="6" t="str">
        <f>'[1]V, inciso o) (OP)'!C390</f>
        <v>DOPI-MUN-RM-BAN-AD-153-2018</v>
      </c>
      <c r="E786" s="10">
        <f>'[1]V, inciso o) (OP)'!V390</f>
        <v>43224</v>
      </c>
      <c r="F786" s="6" t="str">
        <f>'[1]V, inciso o) (OP)'!AA390</f>
        <v xml:space="preserve">Peatonalización, construcción de banquetas, bolardos, jardinería, señalética y servicios complementarios en la calle Ocampo de Av. Aviación a calle Independencia, en la localidad de San Juan de Ocotan, municipio de Zapopan, Jalisco.  </v>
      </c>
      <c r="G786" s="6" t="s">
        <v>63</v>
      </c>
      <c r="H786" s="25">
        <v>1752110.87</v>
      </c>
      <c r="I786" s="6" t="s">
        <v>1173</v>
      </c>
      <c r="J786" s="6" t="str">
        <f>'[1]V, inciso o) (OP)'!M390</f>
        <v>JOSÉ ANTONIO</v>
      </c>
      <c r="K786" s="6" t="str">
        <f>'[1]V, inciso o) (OP)'!N390</f>
        <v>CISNEROS</v>
      </c>
      <c r="L786" s="6" t="str">
        <f>'[1]V, inciso o) (OP)'!O390</f>
        <v>CASTILLO</v>
      </c>
      <c r="M786" s="6" t="s">
        <v>3160</v>
      </c>
      <c r="N786" s="6" t="str">
        <f>'[1]V, inciso o) (OP)'!Q390</f>
        <v>APE111122MI0</v>
      </c>
      <c r="O786" s="11">
        <f t="shared" si="25"/>
        <v>1752110.87</v>
      </c>
      <c r="P786" s="11">
        <v>1652808.8499999999</v>
      </c>
      <c r="Q786" s="14" t="s">
        <v>1299</v>
      </c>
      <c r="R786" s="15">
        <f>O786/2562</f>
        <v>683.88402419984391</v>
      </c>
      <c r="S786" s="7" t="s">
        <v>41</v>
      </c>
      <c r="T786" s="12">
        <v>1025</v>
      </c>
      <c r="U786" s="13" t="s">
        <v>42</v>
      </c>
      <c r="V786" s="7" t="s">
        <v>43</v>
      </c>
      <c r="W786" s="10">
        <f>'[1]V, inciso o) (OP)'!AD390</f>
        <v>43227</v>
      </c>
      <c r="X786" s="10">
        <f>'[1]V, inciso o) (OP)'!AE390</f>
        <v>43266</v>
      </c>
      <c r="Y786" s="7" t="s">
        <v>394</v>
      </c>
      <c r="Z786" s="7" t="s">
        <v>279</v>
      </c>
      <c r="AA786" s="7" t="s">
        <v>78</v>
      </c>
      <c r="AB786" s="21" t="s">
        <v>2395</v>
      </c>
      <c r="AC786" s="6" t="s">
        <v>2438</v>
      </c>
      <c r="AD786" s="6"/>
    </row>
    <row r="787" spans="1:30" ht="69.95" customHeight="1">
      <c r="A787" s="16">
        <v>154</v>
      </c>
      <c r="B787" s="7">
        <v>2018</v>
      </c>
      <c r="C787" s="7" t="s">
        <v>62</v>
      </c>
      <c r="D787" s="6" t="str">
        <f>'[1]V, inciso o) (OP)'!C391</f>
        <v>DOPI-MUN-RM-CALAFATEO-AD-154-2018</v>
      </c>
      <c r="E787" s="10">
        <f>'[1]V, inciso o) (OP)'!V391</f>
        <v>43231</v>
      </c>
      <c r="F787" s="6" t="str">
        <f>'[1]V, inciso o) (OP)'!AA391</f>
        <v>Calafateo en juntas de pavimentos hidráulicos con sellador asfaltico en vialidades, en la Av. General Ramón Corona, municipio de Zapopan, Jalisco.</v>
      </c>
      <c r="G787" s="6" t="s">
        <v>63</v>
      </c>
      <c r="H787" s="25">
        <v>829426.31</v>
      </c>
      <c r="I787" s="6" t="s">
        <v>1297</v>
      </c>
      <c r="J787" s="6" t="str">
        <f>'[1]V, inciso o) (OP)'!M391</f>
        <v>LUIS MIGUEL</v>
      </c>
      <c r="K787" s="6" t="str">
        <f>'[1]V, inciso o) (OP)'!N391</f>
        <v>TORRES</v>
      </c>
      <c r="L787" s="6" t="str">
        <f>'[1]V, inciso o) (OP)'!O391</f>
        <v>DÍAZ BARRIGA</v>
      </c>
      <c r="M787" s="6" t="s">
        <v>3274</v>
      </c>
      <c r="N787" s="6" t="str">
        <f>'[1]V, inciso o) (OP)'!Q391</f>
        <v>ADA040607DY7</v>
      </c>
      <c r="O787" s="11">
        <f t="shared" si="25"/>
        <v>829426.31</v>
      </c>
      <c r="P787" s="11">
        <v>829426.29999999993</v>
      </c>
      <c r="Q787" s="14" t="s">
        <v>1300</v>
      </c>
      <c r="R787" s="15">
        <f>O787/9124</f>
        <v>90.905996273564227</v>
      </c>
      <c r="S787" s="7" t="s">
        <v>41</v>
      </c>
      <c r="T787" s="12">
        <v>3658</v>
      </c>
      <c r="U787" s="13" t="s">
        <v>42</v>
      </c>
      <c r="V787" s="7" t="s">
        <v>43</v>
      </c>
      <c r="W787" s="10">
        <f>'[1]V, inciso o) (OP)'!AD391</f>
        <v>43235</v>
      </c>
      <c r="X787" s="10">
        <f>'[1]V, inciso o) (OP)'!AE391</f>
        <v>43266</v>
      </c>
      <c r="Y787" s="7" t="s">
        <v>394</v>
      </c>
      <c r="Z787" s="7" t="s">
        <v>279</v>
      </c>
      <c r="AA787" s="7" t="s">
        <v>78</v>
      </c>
      <c r="AB787" s="21" t="s">
        <v>2396</v>
      </c>
      <c r="AC787" s="6" t="s">
        <v>2438</v>
      </c>
      <c r="AD787" s="6"/>
    </row>
    <row r="788" spans="1:30" ht="69.95" customHeight="1">
      <c r="A788" s="16">
        <v>155</v>
      </c>
      <c r="B788" s="7">
        <v>2018</v>
      </c>
      <c r="C788" s="7" t="s">
        <v>62</v>
      </c>
      <c r="D788" s="6" t="str">
        <f>'[1]V, inciso o) (OP)'!C392</f>
        <v>DOPI-MUN-RM-PAV-AD-155-2018</v>
      </c>
      <c r="E788" s="10">
        <f>'[1]V, inciso o) (OP)'!V392</f>
        <v>43231</v>
      </c>
      <c r="F788" s="6" t="str">
        <f>'[1]V, inciso o) (OP)'!AA392</f>
        <v>Obra complementaria para la terminación de la construcción de la calle Deli con concreto hidráulico de calle Ozomatli a calle Acatl, en la colonia Mesa Colorada, municipio de Zapopan, Jalisco.</v>
      </c>
      <c r="G788" s="6" t="s">
        <v>63</v>
      </c>
      <c r="H788" s="25">
        <v>1398863.95</v>
      </c>
      <c r="I788" s="6" t="s">
        <v>675</v>
      </c>
      <c r="J788" s="6" t="str">
        <f>'[1]V, inciso o) (OP)'!M392</f>
        <v>CARLOS ALBERTO</v>
      </c>
      <c r="K788" s="6" t="str">
        <f>'[1]V, inciso o) (OP)'!N392</f>
        <v>VALENCIA</v>
      </c>
      <c r="L788" s="6" t="str">
        <f>'[1]V, inciso o) (OP)'!O392</f>
        <v>MENCHACA</v>
      </c>
      <c r="M788" s="6" t="s">
        <v>3157</v>
      </c>
      <c r="N788" s="6" t="str">
        <f>'[1]V, inciso o) (OP)'!Q392</f>
        <v>CAU980304DC0</v>
      </c>
      <c r="O788" s="11">
        <f t="shared" si="25"/>
        <v>1398863.95</v>
      </c>
      <c r="P788" s="11">
        <v>1302603.76</v>
      </c>
      <c r="Q788" s="14" t="s">
        <v>1301</v>
      </c>
      <c r="R788" s="15">
        <f>O788/860</f>
        <v>1626.585988372093</v>
      </c>
      <c r="S788" s="7" t="s">
        <v>41</v>
      </c>
      <c r="T788" s="12">
        <v>629</v>
      </c>
      <c r="U788" s="13" t="s">
        <v>42</v>
      </c>
      <c r="V788" s="43" t="s">
        <v>43</v>
      </c>
      <c r="W788" s="10">
        <f>'[1]V, inciso o) (OP)'!AD392</f>
        <v>43234</v>
      </c>
      <c r="X788" s="10">
        <f>'[1]V, inciso o) (OP)'!AE392</f>
        <v>43281</v>
      </c>
      <c r="Y788" s="7" t="s">
        <v>345</v>
      </c>
      <c r="Z788" s="7" t="s">
        <v>346</v>
      </c>
      <c r="AA788" s="7" t="s">
        <v>347</v>
      </c>
      <c r="AB788" s="21" t="s">
        <v>2397</v>
      </c>
      <c r="AC788" s="6" t="s">
        <v>2438</v>
      </c>
      <c r="AD788" s="6"/>
    </row>
    <row r="789" spans="1:30" ht="69.95" customHeight="1">
      <c r="A789" s="16">
        <v>156</v>
      </c>
      <c r="B789" s="7">
        <v>2018</v>
      </c>
      <c r="C789" s="7" t="s">
        <v>62</v>
      </c>
      <c r="D789" s="6" t="str">
        <f>'[1]V, inciso o) (OP)'!C393</f>
        <v>DOPI-MUN-R33-ELE-AD-156-2018</v>
      </c>
      <c r="E789" s="10">
        <f>'[1]V, inciso o) (OP)'!V393</f>
        <v>43241</v>
      </c>
      <c r="F789" s="6" t="str">
        <f>'[1]V, inciso o) (OP)'!AA393</f>
        <v>Red de electrificación en la colonia Jardines de Santa Ana, municipio de Zapopan, Jalisco.</v>
      </c>
      <c r="G789" s="6" t="s">
        <v>3334</v>
      </c>
      <c r="H789" s="25">
        <v>591586.15</v>
      </c>
      <c r="I789" s="6" t="s">
        <v>1302</v>
      </c>
      <c r="J789" s="6" t="str">
        <f>'[1]V, inciso o) (OP)'!M393</f>
        <v>ARMANDO</v>
      </c>
      <c r="K789" s="6" t="str">
        <f>'[1]V, inciso o) (OP)'!N393</f>
        <v>ARROYO</v>
      </c>
      <c r="L789" s="6" t="str">
        <f>'[1]V, inciso o) (OP)'!O393</f>
        <v>ZEPEDA</v>
      </c>
      <c r="M789" s="6" t="s">
        <v>1909</v>
      </c>
      <c r="N789" s="6" t="str">
        <f>'[1]V, inciso o) (OP)'!Q393</f>
        <v>CUP160122E20</v>
      </c>
      <c r="O789" s="11">
        <f t="shared" si="25"/>
        <v>591586.15</v>
      </c>
      <c r="P789" s="11">
        <v>591586.14</v>
      </c>
      <c r="Q789" s="14" t="s">
        <v>1303</v>
      </c>
      <c r="R789" s="15">
        <f>O789/326</f>
        <v>1814.6814417177916</v>
      </c>
      <c r="S789" s="7" t="s">
        <v>41</v>
      </c>
      <c r="T789" s="12">
        <v>365</v>
      </c>
      <c r="U789" s="13" t="s">
        <v>42</v>
      </c>
      <c r="V789" s="7" t="s">
        <v>43</v>
      </c>
      <c r="W789" s="10">
        <f>'[1]V, inciso o) (OP)'!AD393</f>
        <v>43242</v>
      </c>
      <c r="X789" s="10">
        <f>'[1]V, inciso o) (OP)'!AE393</f>
        <v>43296</v>
      </c>
      <c r="Y789" s="7" t="s">
        <v>402</v>
      </c>
      <c r="Z789" s="7" t="s">
        <v>296</v>
      </c>
      <c r="AA789" s="7" t="s">
        <v>508</v>
      </c>
      <c r="AB789" s="21" t="s">
        <v>2398</v>
      </c>
      <c r="AC789" s="6" t="s">
        <v>2438</v>
      </c>
      <c r="AD789" s="6"/>
    </row>
    <row r="790" spans="1:30" ht="69.95" customHeight="1">
      <c r="A790" s="16"/>
      <c r="B790" s="7">
        <v>2018</v>
      </c>
      <c r="C790" s="7" t="s">
        <v>62</v>
      </c>
      <c r="D790" s="6" t="s">
        <v>1603</v>
      </c>
      <c r="E790" s="10">
        <v>43241</v>
      </c>
      <c r="F790" s="6" t="s">
        <v>1731</v>
      </c>
      <c r="G790" s="6" t="s">
        <v>63</v>
      </c>
      <c r="H790" s="25">
        <v>990462.1</v>
      </c>
      <c r="I790" s="6" t="s">
        <v>1049</v>
      </c>
      <c r="J790" s="6" t="s">
        <v>1680</v>
      </c>
      <c r="K790" s="6" t="s">
        <v>1681</v>
      </c>
      <c r="L790" s="6" t="s">
        <v>1682</v>
      </c>
      <c r="M790" s="6" t="s">
        <v>1683</v>
      </c>
      <c r="N790" s="6" t="s">
        <v>1684</v>
      </c>
      <c r="O790" s="11">
        <v>990462.1</v>
      </c>
      <c r="P790" s="11">
        <v>990462.1</v>
      </c>
      <c r="Q790" s="14" t="s">
        <v>1730</v>
      </c>
      <c r="R790" s="15">
        <v>26769.245945945946</v>
      </c>
      <c r="S790" s="7" t="s">
        <v>41</v>
      </c>
      <c r="T790" s="12">
        <v>68952</v>
      </c>
      <c r="U790" s="13" t="s">
        <v>42</v>
      </c>
      <c r="V790" s="43" t="s">
        <v>43</v>
      </c>
      <c r="W790" s="10">
        <v>43242</v>
      </c>
      <c r="X790" s="10">
        <v>43271</v>
      </c>
      <c r="Y790" s="7" t="s">
        <v>859</v>
      </c>
      <c r="Z790" s="7" t="s">
        <v>860</v>
      </c>
      <c r="AA790" s="7" t="s">
        <v>861</v>
      </c>
      <c r="AB790" s="21" t="s">
        <v>2799</v>
      </c>
      <c r="AC790" s="6" t="s">
        <v>2438</v>
      </c>
      <c r="AD790" s="6"/>
    </row>
    <row r="791" spans="1:30" ht="69.95" customHeight="1">
      <c r="A791" s="16">
        <v>158</v>
      </c>
      <c r="B791" s="7">
        <v>2018</v>
      </c>
      <c r="C791" s="7" t="s">
        <v>62</v>
      </c>
      <c r="D791" s="6" t="str">
        <f>'[1]V, inciso o) (OP)'!C394</f>
        <v>DOPI-MUN-RM-IM-AD-158-2018</v>
      </c>
      <c r="E791" s="10">
        <f>'[1]V, inciso o) (OP)'!V394</f>
        <v>43234</v>
      </c>
      <c r="F791" s="6" t="str">
        <f>'[1]V, inciso o) (OP)'!AA394</f>
        <v>Construcción de cimentación, apoyos y rampas de acceso para la reubicación de puente peatonal, ubicado sobre carretera Guadalajara - Nogales, colonia Rancho Contento, municipio de Zapopan, Jalisco.</v>
      </c>
      <c r="G791" s="6" t="s">
        <v>63</v>
      </c>
      <c r="H791" s="25">
        <v>490385.66</v>
      </c>
      <c r="I791" s="6" t="s">
        <v>1304</v>
      </c>
      <c r="J791" s="6" t="str">
        <f>'[1]V, inciso o) (OP)'!M394</f>
        <v xml:space="preserve">EDUARDO </v>
      </c>
      <c r="K791" s="6" t="str">
        <f>'[1]V, inciso o) (OP)'!N394</f>
        <v>ROMERO</v>
      </c>
      <c r="L791" s="6" t="str">
        <f>'[1]V, inciso o) (OP)'!O394</f>
        <v>LUGO</v>
      </c>
      <c r="M791" s="6" t="s">
        <v>1824</v>
      </c>
      <c r="N791" s="6" t="str">
        <f>'[1]V, inciso o) (OP)'!Q394</f>
        <v>ROS120904PV9</v>
      </c>
      <c r="O791" s="11">
        <f>H791</f>
        <v>490385.66</v>
      </c>
      <c r="P791" s="11">
        <v>490385.67</v>
      </c>
      <c r="Q791" s="14" t="s">
        <v>1305</v>
      </c>
      <c r="R791" s="15">
        <f>O791/2023</f>
        <v>242.40517053880373</v>
      </c>
      <c r="S791" s="7" t="s">
        <v>41</v>
      </c>
      <c r="T791" s="12">
        <v>1086</v>
      </c>
      <c r="U791" s="13" t="s">
        <v>42</v>
      </c>
      <c r="V791" s="7" t="s">
        <v>43</v>
      </c>
      <c r="W791" s="10">
        <f>'[1]V, inciso o) (OP)'!AD394</f>
        <v>43234</v>
      </c>
      <c r="X791" s="10">
        <f>'[1]V, inciso o) (OP)'!AE394</f>
        <v>43281</v>
      </c>
      <c r="Y791" s="7" t="s">
        <v>380</v>
      </c>
      <c r="Z791" s="7" t="s">
        <v>45</v>
      </c>
      <c r="AA791" s="7" t="s">
        <v>46</v>
      </c>
      <c r="AB791" s="21" t="s">
        <v>2399</v>
      </c>
      <c r="AC791" s="6" t="s">
        <v>2438</v>
      </c>
      <c r="AD791" s="6"/>
    </row>
    <row r="792" spans="1:30" ht="69.95" customHeight="1">
      <c r="A792" s="16">
        <v>159</v>
      </c>
      <c r="B792" s="7">
        <v>2018</v>
      </c>
      <c r="C792" s="7" t="s">
        <v>62</v>
      </c>
      <c r="D792" s="6" t="str">
        <f>'[1]V, inciso o) (OP)'!C395</f>
        <v>DOPI-MUN-RM-ELE-AD-159-2018</v>
      </c>
      <c r="E792" s="10">
        <f>'[1]V, inciso o) (OP)'!V395</f>
        <v>43241</v>
      </c>
      <c r="F792" s="6" t="str">
        <f>'[1]V, inciso o) (OP)'!AA395</f>
        <v>Red de electrificación y alumbrado público en la colonia Jardines de los Alamos, municipio de Zapopan, Jalisco.</v>
      </c>
      <c r="G792" s="6" t="s">
        <v>63</v>
      </c>
      <c r="H792" s="25">
        <v>1396209.13</v>
      </c>
      <c r="I792" s="6" t="s">
        <v>1306</v>
      </c>
      <c r="J792" s="6" t="str">
        <f>'[1]V, inciso o) (OP)'!M395</f>
        <v>ARMANDO</v>
      </c>
      <c r="K792" s="6" t="str">
        <f>'[1]V, inciso o) (OP)'!N395</f>
        <v>ARROYO</v>
      </c>
      <c r="L792" s="6" t="str">
        <f>'[1]V, inciso o) (OP)'!O395</f>
        <v>ZEPEDA</v>
      </c>
      <c r="M792" s="6" t="s">
        <v>3269</v>
      </c>
      <c r="N792" s="6" t="str">
        <f>'[1]V, inciso o) (OP)'!Q395</f>
        <v>CEI000807E95</v>
      </c>
      <c r="O792" s="11">
        <f>H792</f>
        <v>1396209.13</v>
      </c>
      <c r="P792" s="11">
        <v>1008855.49</v>
      </c>
      <c r="Q792" s="14" t="s">
        <v>1307</v>
      </c>
      <c r="R792" s="15">
        <f>O792/485</f>
        <v>2878.7817113402061</v>
      </c>
      <c r="S792" s="7" t="s">
        <v>41</v>
      </c>
      <c r="T792" s="12">
        <v>269</v>
      </c>
      <c r="U792" s="13" t="s">
        <v>42</v>
      </c>
      <c r="V792" s="43" t="s">
        <v>43</v>
      </c>
      <c r="W792" s="10">
        <f>'[1]V, inciso o) (OP)'!AD395</f>
        <v>43242</v>
      </c>
      <c r="X792" s="10">
        <f>'[1]V, inciso o) (OP)'!AE395</f>
        <v>43296</v>
      </c>
      <c r="Y792" s="7" t="s">
        <v>402</v>
      </c>
      <c r="Z792" s="7" t="s">
        <v>296</v>
      </c>
      <c r="AA792" s="7" t="s">
        <v>508</v>
      </c>
      <c r="AB792" s="21" t="s">
        <v>2400</v>
      </c>
      <c r="AC792" s="6" t="s">
        <v>2438</v>
      </c>
      <c r="AD792" s="6"/>
    </row>
    <row r="793" spans="1:30" ht="69.95" customHeight="1">
      <c r="A793" s="16">
        <v>160</v>
      </c>
      <c r="B793" s="7">
        <v>2018</v>
      </c>
      <c r="C793" s="7" t="s">
        <v>62</v>
      </c>
      <c r="D793" s="6" t="str">
        <f>'[1]V, inciso o) (OP)'!C396</f>
        <v>DOPI-MUN-RM-IM-AD-160-2018</v>
      </c>
      <c r="E793" s="10">
        <f>'[1]V, inciso o) (OP)'!V396</f>
        <v>43248</v>
      </c>
      <c r="F793" s="6" t="str">
        <f>'[1]V, inciso o) (OP)'!AA396</f>
        <v>Reforzamiento y ampliación de estructura de puente peatonal, ubicado sobre carretera Guadalajara - Nogales, colonia Rancho Contento, municipio de Zapopan, Jalisco.</v>
      </c>
      <c r="G793" s="6" t="s">
        <v>63</v>
      </c>
      <c r="H793" s="25">
        <v>1660259.98</v>
      </c>
      <c r="I793" s="6" t="s">
        <v>1304</v>
      </c>
      <c r="J793" s="6" t="str">
        <f>'[1]V, inciso o) (OP)'!M396</f>
        <v>CLAUDIO FELIPE</v>
      </c>
      <c r="K793" s="6" t="str">
        <f>'[1]V, inciso o) (OP)'!N396</f>
        <v>TRUJILLO</v>
      </c>
      <c r="L793" s="6" t="str">
        <f>'[1]V, inciso o) (OP)'!O396</f>
        <v>GRACIAN</v>
      </c>
      <c r="M793" s="6" t="s">
        <v>1993</v>
      </c>
      <c r="N793" s="6" t="str">
        <f>'[1]V, inciso o) (OP)'!Q396</f>
        <v>DLU100818F46</v>
      </c>
      <c r="O793" s="11">
        <f>H793</f>
        <v>1660259.98</v>
      </c>
      <c r="P793" s="11">
        <f t="shared" si="24"/>
        <v>1660259.98</v>
      </c>
      <c r="Q793" s="14" t="s">
        <v>1308</v>
      </c>
      <c r="R793" s="15">
        <f>O793/17000</f>
        <v>97.662351764705875</v>
      </c>
      <c r="S793" s="7" t="s">
        <v>41</v>
      </c>
      <c r="T793" s="12">
        <v>1086</v>
      </c>
      <c r="U793" s="13" t="s">
        <v>42</v>
      </c>
      <c r="V793" s="7" t="s">
        <v>373</v>
      </c>
      <c r="W793" s="10">
        <f>'[1]V, inciso o) (OP)'!AD396</f>
        <v>43248</v>
      </c>
      <c r="X793" s="10">
        <f>'[1]V, inciso o) (OP)'!AE396</f>
        <v>43296</v>
      </c>
      <c r="Y793" s="7" t="s">
        <v>380</v>
      </c>
      <c r="Z793" s="7" t="s">
        <v>45</v>
      </c>
      <c r="AA793" s="7" t="s">
        <v>46</v>
      </c>
      <c r="AB793" s="21" t="s">
        <v>2401</v>
      </c>
      <c r="AC793" s="6" t="s">
        <v>2438</v>
      </c>
      <c r="AD793" s="6"/>
    </row>
    <row r="794" spans="1:30" ht="69.95" customHeight="1">
      <c r="A794" s="16">
        <v>161</v>
      </c>
      <c r="B794" s="7">
        <v>2018</v>
      </c>
      <c r="C794" s="7" t="s">
        <v>62</v>
      </c>
      <c r="D794" s="6" t="str">
        <f>'[1]V, inciso o) (OP)'!C397</f>
        <v>DOPI-MUN-RM-AP-AD-161-2018</v>
      </c>
      <c r="E794" s="10">
        <f>'[1]V, inciso o) (OP)'!V397</f>
        <v>43234</v>
      </c>
      <c r="F794" s="6" t="str">
        <f>'[1]V, inciso o) (OP)'!AA397</f>
        <v>Construcción de bocas de tormenta y pozos de absorción en la Av. General Ramón Corona, en la zona de La Mojonera, municipio de Zapopan, Jalisco, frente 2.</v>
      </c>
      <c r="G794" s="6" t="s">
        <v>63</v>
      </c>
      <c r="H794" s="25">
        <v>1799142.18</v>
      </c>
      <c r="I794" s="6" t="s">
        <v>1297</v>
      </c>
      <c r="J794" s="6" t="str">
        <f>'[1]V, inciso o) (OP)'!M397</f>
        <v>JORGE ALFREDO</v>
      </c>
      <c r="K794" s="6" t="str">
        <f>'[1]V, inciso o) (OP)'!N397</f>
        <v>OCHOA</v>
      </c>
      <c r="L794" s="6" t="str">
        <f>'[1]V, inciso o) (OP)'!O397</f>
        <v>GONZÁLEZ</v>
      </c>
      <c r="M794" s="6" t="s">
        <v>3209</v>
      </c>
      <c r="N794" s="6" t="str">
        <f>'[1]V, inciso o) (OP)'!Q397</f>
        <v>AED890925181</v>
      </c>
      <c r="O794" s="11">
        <f>H794</f>
        <v>1799142.18</v>
      </c>
      <c r="P794" s="11">
        <v>1799142.18</v>
      </c>
      <c r="Q794" s="14" t="s">
        <v>1309</v>
      </c>
      <c r="R794" s="15">
        <f>O794/25</f>
        <v>71965.6872</v>
      </c>
      <c r="S794" s="7" t="s">
        <v>41</v>
      </c>
      <c r="T794" s="12">
        <v>5622</v>
      </c>
      <c r="U794" s="13" t="s">
        <v>42</v>
      </c>
      <c r="V794" s="43" t="s">
        <v>43</v>
      </c>
      <c r="W794" s="10">
        <f>'[1]V, inciso o) (OP)'!AD397</f>
        <v>43234</v>
      </c>
      <c r="X794" s="10">
        <f>'[1]V, inciso o) (OP)'!AE397</f>
        <v>43281</v>
      </c>
      <c r="Y794" s="7" t="s">
        <v>394</v>
      </c>
      <c r="Z794" s="7" t="s">
        <v>279</v>
      </c>
      <c r="AA794" s="7" t="s">
        <v>78</v>
      </c>
      <c r="AB794" s="21" t="s">
        <v>2402</v>
      </c>
      <c r="AC794" s="6" t="s">
        <v>2438</v>
      </c>
      <c r="AD794" s="6"/>
    </row>
    <row r="795" spans="1:30" ht="69.95" customHeight="1">
      <c r="A795" s="16"/>
      <c r="B795" s="6">
        <v>2018</v>
      </c>
      <c r="C795" s="6" t="s">
        <v>62</v>
      </c>
      <c r="D795" s="6" t="s">
        <v>1586</v>
      </c>
      <c r="E795" s="23">
        <v>43241</v>
      </c>
      <c r="F795" s="9" t="s">
        <v>1587</v>
      </c>
      <c r="G795" s="6" t="s">
        <v>63</v>
      </c>
      <c r="H795" s="25">
        <v>830834.62</v>
      </c>
      <c r="I795" s="6" t="s">
        <v>1588</v>
      </c>
      <c r="J795" s="24" t="s">
        <v>1589</v>
      </c>
      <c r="K795" s="6" t="s">
        <v>1590</v>
      </c>
      <c r="L795" s="6" t="s">
        <v>1591</v>
      </c>
      <c r="M795" s="6" t="s">
        <v>1592</v>
      </c>
      <c r="N795" s="23" t="s">
        <v>1593</v>
      </c>
      <c r="O795" s="25">
        <v>830834.62</v>
      </c>
      <c r="P795" s="11">
        <v>818676.76</v>
      </c>
      <c r="Q795" s="6" t="s">
        <v>1594</v>
      </c>
      <c r="R795" s="25">
        <v>3077.1652592592591</v>
      </c>
      <c r="S795" s="6" t="s">
        <v>41</v>
      </c>
      <c r="T795" s="24">
        <v>2062</v>
      </c>
      <c r="U795" s="13" t="s">
        <v>42</v>
      </c>
      <c r="V795" s="43" t="s">
        <v>43</v>
      </c>
      <c r="W795" s="23">
        <v>43241</v>
      </c>
      <c r="X795" s="23">
        <v>43281</v>
      </c>
      <c r="Y795" s="6" t="s">
        <v>436</v>
      </c>
      <c r="Z795" s="6" t="s">
        <v>437</v>
      </c>
      <c r="AA795" s="6" t="s">
        <v>362</v>
      </c>
      <c r="AB795" s="21" t="s">
        <v>2800</v>
      </c>
      <c r="AC795" s="6" t="s">
        <v>2438</v>
      </c>
      <c r="AD795" s="6"/>
    </row>
    <row r="796" spans="1:30" ht="69.95" customHeight="1">
      <c r="A796" s="16">
        <v>163</v>
      </c>
      <c r="B796" s="7">
        <v>2018</v>
      </c>
      <c r="C796" s="7" t="s">
        <v>62</v>
      </c>
      <c r="D796" s="6" t="str">
        <f>'[1]V, inciso o) (OP)'!C398</f>
        <v>DOPI-MUN-RM-MOV-AD-163-2018</v>
      </c>
      <c r="E796" s="10">
        <f>'[1]V, inciso o) (OP)'!V398</f>
        <v>43248</v>
      </c>
      <c r="F796" s="6" t="str">
        <f>'[1]V, inciso o) (OP)'!AA398</f>
        <v>Construcción de ciclovía y señalamiento sobre el carril sur de la Av. General Ramón Corona, municipio de Zapopan, Jalisco.</v>
      </c>
      <c r="G796" s="6" t="s">
        <v>63</v>
      </c>
      <c r="H796" s="25">
        <v>1798376</v>
      </c>
      <c r="I796" s="6" t="s">
        <v>1297</v>
      </c>
      <c r="J796" s="6" t="str">
        <f>'[1]V, inciso o) (OP)'!M398</f>
        <v>JOSÉ ANTONIO</v>
      </c>
      <c r="K796" s="6" t="str">
        <f>'[1]V, inciso o) (OP)'!N398</f>
        <v>CUEVAS</v>
      </c>
      <c r="L796" s="6" t="str">
        <f>'[1]V, inciso o) (OP)'!O398</f>
        <v>BRISEÑO</v>
      </c>
      <c r="M796" s="6" t="s">
        <v>3270</v>
      </c>
      <c r="N796" s="6" t="str">
        <f>'[1]V, inciso o) (OP)'!Q398</f>
        <v>CUBA5705179V8</v>
      </c>
      <c r="O796" s="11">
        <f>H796</f>
        <v>1798376</v>
      </c>
      <c r="P796" s="11">
        <f t="shared" si="24"/>
        <v>1798376</v>
      </c>
      <c r="Q796" s="14" t="s">
        <v>1310</v>
      </c>
      <c r="R796" s="15">
        <f>O796/1200</f>
        <v>1498.6466666666668</v>
      </c>
      <c r="S796" s="7" t="s">
        <v>41</v>
      </c>
      <c r="T796" s="12">
        <v>5622</v>
      </c>
      <c r="U796" s="13" t="s">
        <v>42</v>
      </c>
      <c r="V796" s="7" t="s">
        <v>373</v>
      </c>
      <c r="W796" s="10">
        <f>'[1]V, inciso o) (OP)'!AD398</f>
        <v>43248</v>
      </c>
      <c r="X796" s="10">
        <f>'[1]V, inciso o) (OP)'!AE398</f>
        <v>43296</v>
      </c>
      <c r="Y796" s="7" t="s">
        <v>394</v>
      </c>
      <c r="Z796" s="7" t="s">
        <v>279</v>
      </c>
      <c r="AA796" s="7" t="s">
        <v>78</v>
      </c>
      <c r="AB796" s="21" t="s">
        <v>2403</v>
      </c>
      <c r="AC796" s="6" t="s">
        <v>2438</v>
      </c>
      <c r="AD796" s="6"/>
    </row>
    <row r="797" spans="1:30" ht="69.95" customHeight="1">
      <c r="A797" s="16">
        <v>164</v>
      </c>
      <c r="B797" s="7">
        <v>2018</v>
      </c>
      <c r="C797" s="7" t="s">
        <v>62</v>
      </c>
      <c r="D797" s="6" t="str">
        <f>'[1]V, inciso o) (OP)'!C399</f>
        <v>DOPI-MUN-RM-MOV-AD-164-2018</v>
      </c>
      <c r="E797" s="10">
        <f>'[1]V, inciso o) (OP)'!V399</f>
        <v>43248</v>
      </c>
      <c r="F797" s="6" t="str">
        <f>'[1]V, inciso o) (OP)'!AA399</f>
        <v>Señalamiento horizontal y vertical en la calle Independencia, colonia Santa María del Pueblito, municipio de Zapopan, Jalisco.</v>
      </c>
      <c r="G797" s="6" t="s">
        <v>3341</v>
      </c>
      <c r="H797" s="25">
        <v>319866.61</v>
      </c>
      <c r="I797" s="6" t="s">
        <v>1311</v>
      </c>
      <c r="J797" s="6" t="str">
        <f>'[1]V, inciso o) (OP)'!M399</f>
        <v>ÁNGEL SALOMÓN</v>
      </c>
      <c r="K797" s="6" t="str">
        <f>'[1]V, inciso o) (OP)'!N399</f>
        <v>RINCÓN</v>
      </c>
      <c r="L797" s="6" t="str">
        <f>'[1]V, inciso o) (OP)'!O399</f>
        <v>DE LA ROSA</v>
      </c>
      <c r="M797" s="6" t="s">
        <v>3167</v>
      </c>
      <c r="N797" s="6" t="str">
        <f>'[1]V, inciso o) (OP)'!Q399</f>
        <v>AAR120507VA9</v>
      </c>
      <c r="O797" s="11">
        <f>H797</f>
        <v>319866.61</v>
      </c>
      <c r="P797" s="11">
        <v>306461.62</v>
      </c>
      <c r="Q797" s="14" t="s">
        <v>1312</v>
      </c>
      <c r="R797" s="15">
        <f>O797/2400</f>
        <v>133.27775416666665</v>
      </c>
      <c r="S797" s="7" t="s">
        <v>41</v>
      </c>
      <c r="T797" s="12">
        <v>1255</v>
      </c>
      <c r="U797" s="13" t="s">
        <v>42</v>
      </c>
      <c r="V797" s="7" t="s">
        <v>43</v>
      </c>
      <c r="W797" s="10">
        <f>'[1]V, inciso o) (OP)'!AD399</f>
        <v>43248</v>
      </c>
      <c r="X797" s="10">
        <f>'[1]V, inciso o) (OP)'!AE399</f>
        <v>43266</v>
      </c>
      <c r="Y797" s="7" t="s">
        <v>317</v>
      </c>
      <c r="Z797" s="7" t="s">
        <v>191</v>
      </c>
      <c r="AA797" s="7" t="s">
        <v>192</v>
      </c>
      <c r="AB797" s="21" t="s">
        <v>2404</v>
      </c>
      <c r="AC797" s="6" t="s">
        <v>2438</v>
      </c>
      <c r="AD797" s="6"/>
    </row>
    <row r="798" spans="1:30" ht="69.95" customHeight="1">
      <c r="A798" s="16">
        <v>165</v>
      </c>
      <c r="B798" s="7">
        <v>2018</v>
      </c>
      <c r="C798" s="7" t="s">
        <v>62</v>
      </c>
      <c r="D798" s="6" t="str">
        <f>'[1]V, inciso o) (OP)'!C400</f>
        <v>DOPI-MUN-RM-BAN-AD-165-2018</v>
      </c>
      <c r="E798" s="10">
        <f>'[1]V, inciso o) (OP)'!V400</f>
        <v>43241</v>
      </c>
      <c r="F798" s="6" t="str">
        <f>'[1]V, inciso o) (OP)'!AA400</f>
        <v xml:space="preserve">Peatonalización, construcción de banquetas, bolardos, jardinería y guarniciones en los cruces de la Av. Arco del Triunfo con las calles Arco Pertinax y Arco Valente en la colonia Arcos de Zapopan, municipio de Zapopan, Jalisco.  </v>
      </c>
      <c r="G798" s="6" t="s">
        <v>63</v>
      </c>
      <c r="H798" s="25">
        <v>672457.74</v>
      </c>
      <c r="I798" s="6" t="s">
        <v>1313</v>
      </c>
      <c r="J798" s="6" t="str">
        <f>'[1]V, inciso o) (OP)'!M400</f>
        <v>OMAR</v>
      </c>
      <c r="K798" s="6" t="str">
        <f>'[1]V, inciso o) (OP)'!N400</f>
        <v>MORA</v>
      </c>
      <c r="L798" s="6" t="str">
        <f>'[1]V, inciso o) (OP)'!O400</f>
        <v>MONTES DE OCA</v>
      </c>
      <c r="M798" s="6" t="s">
        <v>3178</v>
      </c>
      <c r="N798" s="6" t="str">
        <f>'[1]V, inciso o) (OP)'!Q400</f>
        <v>DCO130215C16</v>
      </c>
      <c r="O798" s="11">
        <f>H798</f>
        <v>672457.74</v>
      </c>
      <c r="P798" s="11">
        <v>613427.53</v>
      </c>
      <c r="Q798" s="14" t="s">
        <v>1314</v>
      </c>
      <c r="R798" s="15">
        <f>O798/300</f>
        <v>2241.5257999999999</v>
      </c>
      <c r="S798" s="7" t="s">
        <v>41</v>
      </c>
      <c r="T798" s="12">
        <v>6239</v>
      </c>
      <c r="U798" s="13" t="s">
        <v>42</v>
      </c>
      <c r="V798" s="7" t="s">
        <v>43</v>
      </c>
      <c r="W798" s="10">
        <f>'[1]V, inciso o) (OP)'!AD400</f>
        <v>43241</v>
      </c>
      <c r="X798" s="10">
        <f>'[1]V, inciso o) (OP)'!AE400</f>
        <v>43281</v>
      </c>
      <c r="Y798" s="7" t="s">
        <v>429</v>
      </c>
      <c r="Z798" s="7" t="s">
        <v>290</v>
      </c>
      <c r="AA798" s="7" t="s">
        <v>73</v>
      </c>
      <c r="AB798" s="21" t="s">
        <v>2405</v>
      </c>
      <c r="AC798" s="6" t="s">
        <v>2438</v>
      </c>
      <c r="AD798" s="6"/>
    </row>
    <row r="799" spans="1:30" ht="69.95" customHeight="1">
      <c r="A799" s="16">
        <v>166</v>
      </c>
      <c r="B799" s="7">
        <v>2018</v>
      </c>
      <c r="C799" s="7" t="s">
        <v>62</v>
      </c>
      <c r="D799" s="6" t="str">
        <f>'[1]V, inciso o) (OP)'!C401</f>
        <v>DOPI-MUN-RM-EST-AD-166-2018</v>
      </c>
      <c r="E799" s="10">
        <f>'[1]V, inciso o) (OP)'!V401</f>
        <v>43241</v>
      </c>
      <c r="F799" s="6" t="str">
        <f>'[1]V, inciso o) (OP)'!AA401</f>
        <v>Elaboración de estudio de ingeniería de tránsito en vialidades que comprenden el polígono entre las Av. Servidor Público, Paseo Valle Real, Av. Santa Margarita y Periférico Manuel Gómez Morín, municipio de Zapopan, Jalisco.</v>
      </c>
      <c r="G799" s="6" t="s">
        <v>3341</v>
      </c>
      <c r="H799" s="25">
        <v>400896</v>
      </c>
      <c r="I799" s="6" t="s">
        <v>1315</v>
      </c>
      <c r="J799" s="6" t="str">
        <f>'[1]V, inciso o) (OP)'!M401</f>
        <v>SERGIO ALEJANDRO</v>
      </c>
      <c r="K799" s="6" t="str">
        <f>'[1]V, inciso o) (OP)'!N401</f>
        <v>LARIOS</v>
      </c>
      <c r="L799" s="6" t="str">
        <f>'[1]V, inciso o) (OP)'!O401</f>
        <v>VIRGEN</v>
      </c>
      <c r="M799" s="6" t="s">
        <v>3232</v>
      </c>
      <c r="N799" s="6" t="str">
        <f>'[1]V, inciso o) (OP)'!Q401</f>
        <v>EPS040708MA2</v>
      </c>
      <c r="O799" s="11">
        <f>H799</f>
        <v>400896</v>
      </c>
      <c r="P799" s="11">
        <v>400896</v>
      </c>
      <c r="Q799" s="14" t="s">
        <v>611</v>
      </c>
      <c r="R799" s="15">
        <f>O799</f>
        <v>400896</v>
      </c>
      <c r="S799" s="7" t="s">
        <v>121</v>
      </c>
      <c r="T799" s="12" t="s">
        <v>121</v>
      </c>
      <c r="U799" s="13" t="s">
        <v>42</v>
      </c>
      <c r="V799" s="43" t="s">
        <v>43</v>
      </c>
      <c r="W799" s="10">
        <f>'[1]V, inciso o) (OP)'!AD401</f>
        <v>43242</v>
      </c>
      <c r="X799" s="10">
        <f>'[1]V, inciso o) (OP)'!AE401</f>
        <v>43312</v>
      </c>
      <c r="Y799" s="7" t="s">
        <v>680</v>
      </c>
      <c r="Z799" s="7" t="s">
        <v>681</v>
      </c>
      <c r="AA799" s="7" t="s">
        <v>132</v>
      </c>
      <c r="AB799" s="21" t="s">
        <v>2406</v>
      </c>
      <c r="AC799" s="6" t="s">
        <v>2438</v>
      </c>
      <c r="AD799" s="6"/>
    </row>
    <row r="800" spans="1:30" ht="69.95" customHeight="1">
      <c r="A800" s="16">
        <v>167</v>
      </c>
      <c r="B800" s="7">
        <v>2018</v>
      </c>
      <c r="C800" s="7" t="s">
        <v>62</v>
      </c>
      <c r="D800" s="6" t="str">
        <f>'[1]V, inciso o) (OP)'!C402</f>
        <v>DOPI-MUN-RM-MOV-AD-167-2018</v>
      </c>
      <c r="E800" s="10">
        <f>'[1]V, inciso o) (OP)'!V402</f>
        <v>43241</v>
      </c>
      <c r="F800" s="6" t="str">
        <f>'[1]V, inciso o) (OP)'!AA402</f>
        <v>Construcción de reductores de velocidad, señalamiento y peatonalización en la calle 2 y calle 5, en la colonia Seattle, municipio de Zapopan, Jalisco.</v>
      </c>
      <c r="G800" s="6" t="s">
        <v>63</v>
      </c>
      <c r="H800" s="25">
        <v>1618909.35</v>
      </c>
      <c r="I800" s="6" t="s">
        <v>1316</v>
      </c>
      <c r="J800" s="6" t="str">
        <f>'[1]V, inciso o) (OP)'!M402</f>
        <v>J. JESÚS</v>
      </c>
      <c r="K800" s="6" t="str">
        <f>'[1]V, inciso o) (OP)'!N402</f>
        <v>CONTRERAS</v>
      </c>
      <c r="L800" s="6" t="str">
        <f>'[1]V, inciso o) (OP)'!O402</f>
        <v>VILLANUEVA</v>
      </c>
      <c r="M800" s="6" t="s">
        <v>2191</v>
      </c>
      <c r="N800" s="6" t="str">
        <f>'[1]V, inciso o) (OP)'!Q402</f>
        <v>CCO0404226D8</v>
      </c>
      <c r="O800" s="11">
        <f>H800</f>
        <v>1618909.35</v>
      </c>
      <c r="P800" s="11">
        <f t="shared" si="24"/>
        <v>1618909.35</v>
      </c>
      <c r="Q800" s="14" t="s">
        <v>453</v>
      </c>
      <c r="R800" s="15">
        <f>O800/720</f>
        <v>2248.4852083333335</v>
      </c>
      <c r="S800" s="7" t="s">
        <v>41</v>
      </c>
      <c r="T800" s="12">
        <v>963</v>
      </c>
      <c r="U800" s="13" t="s">
        <v>42</v>
      </c>
      <c r="V800" s="7" t="s">
        <v>373</v>
      </c>
      <c r="W800" s="10">
        <f>'[1]V, inciso o) (OP)'!AD402</f>
        <v>43241</v>
      </c>
      <c r="X800" s="10">
        <f>'[1]V, inciso o) (OP)'!AE402</f>
        <v>43281</v>
      </c>
      <c r="Y800" s="7" t="s">
        <v>380</v>
      </c>
      <c r="Z800" s="7" t="s">
        <v>45</v>
      </c>
      <c r="AA800" s="7" t="s">
        <v>46</v>
      </c>
      <c r="AB800" s="21" t="s">
        <v>2407</v>
      </c>
      <c r="AC800" s="6" t="s">
        <v>2438</v>
      </c>
      <c r="AD800" s="6"/>
    </row>
    <row r="801" spans="1:30" ht="69.95" customHeight="1">
      <c r="A801" s="16"/>
      <c r="B801" s="6">
        <v>2018</v>
      </c>
      <c r="C801" s="6" t="s">
        <v>139</v>
      </c>
      <c r="D801" s="6" t="s">
        <v>1604</v>
      </c>
      <c r="E801" s="10">
        <v>43273</v>
      </c>
      <c r="F801" s="6" t="s">
        <v>1822</v>
      </c>
      <c r="G801" s="6" t="s">
        <v>63</v>
      </c>
      <c r="H801" s="25">
        <v>5920671.9199999999</v>
      </c>
      <c r="I801" s="6" t="s">
        <v>1099</v>
      </c>
      <c r="J801" s="6" t="s">
        <v>1823</v>
      </c>
      <c r="K801" s="6" t="s">
        <v>1720</v>
      </c>
      <c r="L801" s="6" t="s">
        <v>1721</v>
      </c>
      <c r="M801" s="6" t="s">
        <v>1824</v>
      </c>
      <c r="N801" s="6" t="s">
        <v>1825</v>
      </c>
      <c r="O801" s="25">
        <v>5920671.9199999999</v>
      </c>
      <c r="P801" s="11">
        <v>5920671.8600000003</v>
      </c>
      <c r="Q801" s="6" t="s">
        <v>1732</v>
      </c>
      <c r="R801" s="25">
        <v>1208.3003918367347</v>
      </c>
      <c r="S801" s="6" t="s">
        <v>41</v>
      </c>
      <c r="T801" s="6">
        <v>38596</v>
      </c>
      <c r="U801" s="13" t="s">
        <v>42</v>
      </c>
      <c r="V801" s="43" t="s">
        <v>43</v>
      </c>
      <c r="W801" s="10">
        <v>43328</v>
      </c>
      <c r="X801" s="10">
        <v>43372</v>
      </c>
      <c r="Y801" s="6" t="s">
        <v>753</v>
      </c>
      <c r="Z801" s="6" t="s">
        <v>754</v>
      </c>
      <c r="AA801" s="6" t="s">
        <v>806</v>
      </c>
      <c r="AB801" s="21" t="s">
        <v>2801</v>
      </c>
      <c r="AC801" s="6" t="s">
        <v>2438</v>
      </c>
      <c r="AD801" s="6"/>
    </row>
    <row r="802" spans="1:30" ht="69.95" customHeight="1">
      <c r="A802" s="16"/>
      <c r="B802" s="6">
        <v>2018</v>
      </c>
      <c r="C802" s="6" t="s">
        <v>139</v>
      </c>
      <c r="D802" s="6" t="s">
        <v>1605</v>
      </c>
      <c r="E802" s="10">
        <v>43328</v>
      </c>
      <c r="F802" s="6" t="s">
        <v>1826</v>
      </c>
      <c r="G802" s="6" t="s">
        <v>63</v>
      </c>
      <c r="H802" s="25">
        <v>4010354.22</v>
      </c>
      <c r="I802" s="6" t="s">
        <v>1297</v>
      </c>
      <c r="J802" s="6" t="s">
        <v>1700</v>
      </c>
      <c r="K802" s="6" t="s">
        <v>1701</v>
      </c>
      <c r="L802" s="6" t="s">
        <v>1702</v>
      </c>
      <c r="M802" s="6" t="s">
        <v>1827</v>
      </c>
      <c r="N802" s="6" t="s">
        <v>1828</v>
      </c>
      <c r="O802" s="25">
        <v>4010354.22</v>
      </c>
      <c r="P802" s="11">
        <v>4010354.22</v>
      </c>
      <c r="Q802" s="6" t="s">
        <v>1733</v>
      </c>
      <c r="R802" s="25">
        <v>384.05997126987171</v>
      </c>
      <c r="S802" s="6" t="s">
        <v>41</v>
      </c>
      <c r="T802" s="6">
        <v>5622</v>
      </c>
      <c r="U802" s="13" t="s">
        <v>42</v>
      </c>
      <c r="V802" s="6" t="s">
        <v>373</v>
      </c>
      <c r="W802" s="10">
        <v>43328</v>
      </c>
      <c r="X802" s="10">
        <v>43372</v>
      </c>
      <c r="Y802" s="6" t="s">
        <v>394</v>
      </c>
      <c r="Z802" s="6" t="s">
        <v>279</v>
      </c>
      <c r="AA802" s="6" t="s">
        <v>78</v>
      </c>
      <c r="AB802" s="21" t="s">
        <v>2802</v>
      </c>
      <c r="AC802" s="6" t="s">
        <v>2438</v>
      </c>
      <c r="AD802" s="6"/>
    </row>
    <row r="803" spans="1:30" ht="69.95" customHeight="1">
      <c r="A803" s="16"/>
      <c r="B803" s="6">
        <v>2018</v>
      </c>
      <c r="C803" s="6" t="s">
        <v>139</v>
      </c>
      <c r="D803" s="6" t="s">
        <v>1606</v>
      </c>
      <c r="E803" s="10">
        <v>43328</v>
      </c>
      <c r="F803" s="6" t="s">
        <v>1829</v>
      </c>
      <c r="G803" s="6" t="s">
        <v>63</v>
      </c>
      <c r="H803" s="25">
        <v>2681920.31</v>
      </c>
      <c r="I803" s="6" t="s">
        <v>1111</v>
      </c>
      <c r="J803" s="6" t="s">
        <v>1830</v>
      </c>
      <c r="K803" s="6" t="s">
        <v>1831</v>
      </c>
      <c r="L803" s="6" t="s">
        <v>1832</v>
      </c>
      <c r="M803" s="6" t="s">
        <v>1833</v>
      </c>
      <c r="N803" s="6" t="s">
        <v>1834</v>
      </c>
      <c r="O803" s="25">
        <v>2681920.31</v>
      </c>
      <c r="P803" s="11">
        <v>2681920.31</v>
      </c>
      <c r="Q803" s="6" t="s">
        <v>1734</v>
      </c>
      <c r="R803" s="25">
        <v>8053.8147447447445</v>
      </c>
      <c r="S803" s="6" t="s">
        <v>41</v>
      </c>
      <c r="T803" s="6">
        <v>186</v>
      </c>
      <c r="U803" s="13" t="s">
        <v>42</v>
      </c>
      <c r="V803" s="43" t="s">
        <v>43</v>
      </c>
      <c r="W803" s="10">
        <v>43328</v>
      </c>
      <c r="X803" s="10">
        <v>43415</v>
      </c>
      <c r="Y803" s="6" t="s">
        <v>460</v>
      </c>
      <c r="Z803" s="6" t="s">
        <v>302</v>
      </c>
      <c r="AA803" s="6" t="s">
        <v>303</v>
      </c>
      <c r="AB803" s="21" t="s">
        <v>2803</v>
      </c>
      <c r="AC803" s="6" t="s">
        <v>2438</v>
      </c>
      <c r="AD803" s="6"/>
    </row>
    <row r="804" spans="1:30" ht="69.95" customHeight="1">
      <c r="A804" s="16"/>
      <c r="B804" s="6">
        <v>2018</v>
      </c>
      <c r="C804" s="6" t="s">
        <v>139</v>
      </c>
      <c r="D804" s="6" t="s">
        <v>1607</v>
      </c>
      <c r="E804" s="10">
        <v>43328</v>
      </c>
      <c r="F804" s="6" t="s">
        <v>1835</v>
      </c>
      <c r="G804" s="6" t="s">
        <v>63</v>
      </c>
      <c r="H804" s="25">
        <v>6482094.9500000002</v>
      </c>
      <c r="I804" s="6" t="s">
        <v>1735</v>
      </c>
      <c r="J804" s="6" t="s">
        <v>1830</v>
      </c>
      <c r="K804" s="6" t="s">
        <v>1720</v>
      </c>
      <c r="L804" s="6" t="s">
        <v>1836</v>
      </c>
      <c r="M804" s="6" t="s">
        <v>1837</v>
      </c>
      <c r="N804" s="6" t="s">
        <v>1838</v>
      </c>
      <c r="O804" s="25">
        <v>6482094.9500000002</v>
      </c>
      <c r="P804" s="11">
        <v>6481981.9300000006</v>
      </c>
      <c r="Q804" s="6" t="s">
        <v>1736</v>
      </c>
      <c r="R804" s="25">
        <v>2779.629052315609</v>
      </c>
      <c r="S804" s="6" t="s">
        <v>41</v>
      </c>
      <c r="T804" s="6">
        <v>84152</v>
      </c>
      <c r="U804" s="13" t="s">
        <v>42</v>
      </c>
      <c r="V804" s="43" t="s">
        <v>43</v>
      </c>
      <c r="W804" s="10">
        <v>43328</v>
      </c>
      <c r="X804" s="10">
        <v>43367</v>
      </c>
      <c r="Y804" s="6" t="s">
        <v>411</v>
      </c>
      <c r="Z804" s="6" t="s">
        <v>412</v>
      </c>
      <c r="AA804" s="6" t="s">
        <v>413</v>
      </c>
      <c r="AB804" s="21" t="s">
        <v>2804</v>
      </c>
      <c r="AC804" s="6" t="s">
        <v>2438</v>
      </c>
      <c r="AD804" s="6"/>
    </row>
    <row r="805" spans="1:30" ht="69.95" customHeight="1">
      <c r="A805" s="16"/>
      <c r="B805" s="6">
        <v>2018</v>
      </c>
      <c r="C805" s="6" t="s">
        <v>139</v>
      </c>
      <c r="D805" s="6" t="s">
        <v>1608</v>
      </c>
      <c r="E805" s="10">
        <v>43328</v>
      </c>
      <c r="F805" s="6" t="s">
        <v>1839</v>
      </c>
      <c r="G805" s="6" t="s">
        <v>63</v>
      </c>
      <c r="H805" s="25">
        <v>4223236.53</v>
      </c>
      <c r="I805" s="6" t="s">
        <v>1735</v>
      </c>
      <c r="J805" s="6" t="s">
        <v>1840</v>
      </c>
      <c r="K805" s="6" t="s">
        <v>1841</v>
      </c>
      <c r="L805" s="6" t="s">
        <v>1842</v>
      </c>
      <c r="M805" s="6" t="s">
        <v>1843</v>
      </c>
      <c r="N805" s="6" t="s">
        <v>1844</v>
      </c>
      <c r="O805" s="25">
        <v>4223236.53</v>
      </c>
      <c r="P805" s="11">
        <v>4223236.54</v>
      </c>
      <c r="Q805" s="6" t="s">
        <v>1737</v>
      </c>
      <c r="R805" s="25">
        <v>2843.9303232323232</v>
      </c>
      <c r="S805" s="6" t="s">
        <v>41</v>
      </c>
      <c r="T805" s="6">
        <v>2698</v>
      </c>
      <c r="U805" s="13" t="s">
        <v>42</v>
      </c>
      <c r="V805" s="43" t="s">
        <v>43</v>
      </c>
      <c r="W805" s="10">
        <v>43328</v>
      </c>
      <c r="X805" s="10">
        <v>43372</v>
      </c>
      <c r="Y805" s="6" t="s">
        <v>431</v>
      </c>
      <c r="Z805" s="6" t="s">
        <v>181</v>
      </c>
      <c r="AA805" s="6" t="s">
        <v>89</v>
      </c>
      <c r="AB805" s="21" t="s">
        <v>2885</v>
      </c>
      <c r="AC805" s="6" t="s">
        <v>2438</v>
      </c>
      <c r="AD805" s="6"/>
    </row>
    <row r="806" spans="1:30" ht="69.95" customHeight="1">
      <c r="A806" s="16"/>
      <c r="B806" s="6">
        <v>2018</v>
      </c>
      <c r="C806" s="6" t="s">
        <v>139</v>
      </c>
      <c r="D806" s="6" t="s">
        <v>1609</v>
      </c>
      <c r="E806" s="10">
        <v>43328</v>
      </c>
      <c r="F806" s="6" t="s">
        <v>1845</v>
      </c>
      <c r="G806" s="6" t="s">
        <v>63</v>
      </c>
      <c r="H806" s="25">
        <v>1894450.13</v>
      </c>
      <c r="I806" s="6" t="s">
        <v>1735</v>
      </c>
      <c r="J806" s="6" t="s">
        <v>1846</v>
      </c>
      <c r="K806" s="6" t="s">
        <v>1847</v>
      </c>
      <c r="L806" s="6" t="s">
        <v>1848</v>
      </c>
      <c r="M806" s="6" t="s">
        <v>1849</v>
      </c>
      <c r="N806" s="6" t="s">
        <v>1850</v>
      </c>
      <c r="O806" s="25">
        <v>1894450.13</v>
      </c>
      <c r="P806" s="11">
        <v>1894441.52</v>
      </c>
      <c r="Q806" s="6" t="s">
        <v>1738</v>
      </c>
      <c r="R806" s="25">
        <v>2928.0527511591963</v>
      </c>
      <c r="S806" s="6" t="s">
        <v>41</v>
      </c>
      <c r="T806" s="6">
        <v>2698</v>
      </c>
      <c r="U806" s="13" t="s">
        <v>42</v>
      </c>
      <c r="V806" s="43" t="s">
        <v>43</v>
      </c>
      <c r="W806" s="10">
        <v>43328</v>
      </c>
      <c r="X806" s="10">
        <v>43372</v>
      </c>
      <c r="Y806" s="6" t="s">
        <v>431</v>
      </c>
      <c r="Z806" s="6" t="s">
        <v>181</v>
      </c>
      <c r="AA806" s="6" t="s">
        <v>89</v>
      </c>
      <c r="AB806" s="21" t="s">
        <v>2805</v>
      </c>
      <c r="AC806" s="6" t="s">
        <v>2438</v>
      </c>
      <c r="AD806" s="6"/>
    </row>
    <row r="807" spans="1:30" ht="69.95" customHeight="1">
      <c r="A807" s="16"/>
      <c r="B807" s="6">
        <v>2018</v>
      </c>
      <c r="C807" s="6" t="s">
        <v>139</v>
      </c>
      <c r="D807" s="6" t="s">
        <v>1610</v>
      </c>
      <c r="E807" s="10">
        <v>43328</v>
      </c>
      <c r="F807" s="32" t="s">
        <v>1851</v>
      </c>
      <c r="G807" s="6" t="s">
        <v>63</v>
      </c>
      <c r="H807" s="25">
        <v>5154857.8099999996</v>
      </c>
      <c r="I807" s="6" t="s">
        <v>1739</v>
      </c>
      <c r="J807" s="6" t="s">
        <v>1700</v>
      </c>
      <c r="K807" s="6" t="s">
        <v>1701</v>
      </c>
      <c r="L807" s="6" t="s">
        <v>1702</v>
      </c>
      <c r="M807" s="6" t="s">
        <v>1852</v>
      </c>
      <c r="N807" s="6" t="s">
        <v>1853</v>
      </c>
      <c r="O807" s="25">
        <v>5154857.8099999996</v>
      </c>
      <c r="P807" s="11">
        <v>5154857.8099999996</v>
      </c>
      <c r="Q807" s="6" t="s">
        <v>1740</v>
      </c>
      <c r="R807" s="25">
        <v>2127.4691745769705</v>
      </c>
      <c r="S807" s="6" t="s">
        <v>41</v>
      </c>
      <c r="T807" s="6">
        <v>1332272</v>
      </c>
      <c r="U807" s="13" t="s">
        <v>42</v>
      </c>
      <c r="V807" s="6" t="s">
        <v>373</v>
      </c>
      <c r="W807" s="10">
        <v>43328</v>
      </c>
      <c r="X807" s="10">
        <v>43372</v>
      </c>
      <c r="Y807" s="6" t="s">
        <v>811</v>
      </c>
      <c r="Z807" s="6" t="s">
        <v>812</v>
      </c>
      <c r="AA807" s="6" t="s">
        <v>46</v>
      </c>
      <c r="AB807" s="21" t="s">
        <v>2884</v>
      </c>
      <c r="AC807" s="6" t="s">
        <v>2438</v>
      </c>
      <c r="AD807" s="6"/>
    </row>
    <row r="808" spans="1:30" ht="69.95" customHeight="1">
      <c r="A808" s="16"/>
      <c r="B808" s="6">
        <v>2018</v>
      </c>
      <c r="C808" s="6" t="s">
        <v>139</v>
      </c>
      <c r="D808" s="6" t="s">
        <v>1611</v>
      </c>
      <c r="E808" s="10">
        <v>43328</v>
      </c>
      <c r="F808" s="6" t="s">
        <v>1854</v>
      </c>
      <c r="G808" s="6" t="s">
        <v>63</v>
      </c>
      <c r="H808" s="25">
        <v>3051303.9</v>
      </c>
      <c r="I808" s="6" t="s">
        <v>773</v>
      </c>
      <c r="J808" s="6" t="s">
        <v>1855</v>
      </c>
      <c r="K808" s="6" t="s">
        <v>1856</v>
      </c>
      <c r="L808" s="6" t="s">
        <v>1857</v>
      </c>
      <c r="M808" s="6" t="s">
        <v>1858</v>
      </c>
      <c r="N808" s="6" t="s">
        <v>1859</v>
      </c>
      <c r="O808" s="25">
        <v>3051303.9</v>
      </c>
      <c r="P808" s="11">
        <v>3051303.82</v>
      </c>
      <c r="Q808" s="6" t="s">
        <v>1741</v>
      </c>
      <c r="R808" s="25">
        <v>215.96035812867152</v>
      </c>
      <c r="S808" s="6" t="s">
        <v>41</v>
      </c>
      <c r="T808" s="6">
        <v>6874</v>
      </c>
      <c r="U808" s="13" t="s">
        <v>42</v>
      </c>
      <c r="V808" s="43" t="s">
        <v>43</v>
      </c>
      <c r="W808" s="10">
        <v>43328</v>
      </c>
      <c r="X808" s="10">
        <v>43367</v>
      </c>
      <c r="Y808" s="6" t="s">
        <v>394</v>
      </c>
      <c r="Z808" s="6" t="s">
        <v>279</v>
      </c>
      <c r="AA808" s="6" t="s">
        <v>78</v>
      </c>
      <c r="AB808" s="21" t="s">
        <v>2883</v>
      </c>
      <c r="AC808" s="6" t="s">
        <v>2438</v>
      </c>
      <c r="AD808" s="6"/>
    </row>
    <row r="809" spans="1:30" ht="69.95" customHeight="1">
      <c r="A809" s="16"/>
      <c r="B809" s="6">
        <v>2018</v>
      </c>
      <c r="C809" s="6" t="s">
        <v>139</v>
      </c>
      <c r="D809" s="6" t="s">
        <v>1612</v>
      </c>
      <c r="E809" s="10">
        <v>43328</v>
      </c>
      <c r="F809" s="6" t="s">
        <v>1860</v>
      </c>
      <c r="G809" s="6" t="s">
        <v>63</v>
      </c>
      <c r="H809" s="25">
        <v>2798765.91</v>
      </c>
      <c r="I809" s="6" t="s">
        <v>1742</v>
      </c>
      <c r="J809" s="6" t="s">
        <v>1861</v>
      </c>
      <c r="K809" s="6" t="s">
        <v>1856</v>
      </c>
      <c r="L809" s="6" t="s">
        <v>1862</v>
      </c>
      <c r="M809" s="6" t="s">
        <v>1863</v>
      </c>
      <c r="N809" s="6" t="s">
        <v>1864</v>
      </c>
      <c r="O809" s="25">
        <v>2798765.91</v>
      </c>
      <c r="P809" s="11">
        <v>2789749.7300000004</v>
      </c>
      <c r="Q809" s="6" t="s">
        <v>1743</v>
      </c>
      <c r="R809" s="25">
        <v>1399382.9550000001</v>
      </c>
      <c r="S809" s="6" t="s">
        <v>41</v>
      </c>
      <c r="T809" s="6">
        <v>8563</v>
      </c>
      <c r="U809" s="13" t="s">
        <v>42</v>
      </c>
      <c r="V809" s="43" t="s">
        <v>43</v>
      </c>
      <c r="W809" s="10">
        <v>43328</v>
      </c>
      <c r="X809" s="10">
        <v>43367</v>
      </c>
      <c r="Y809" s="6" t="s">
        <v>722</v>
      </c>
      <c r="Z809" s="6" t="s">
        <v>231</v>
      </c>
      <c r="AA809" s="6" t="s">
        <v>143</v>
      </c>
      <c r="AB809" s="21" t="s">
        <v>2806</v>
      </c>
      <c r="AC809" s="6" t="s">
        <v>2438</v>
      </c>
      <c r="AD809" s="6"/>
    </row>
    <row r="810" spans="1:30" ht="69.95" customHeight="1">
      <c r="A810" s="16"/>
      <c r="B810" s="6">
        <v>2018</v>
      </c>
      <c r="C810" s="6" t="s">
        <v>62</v>
      </c>
      <c r="D810" s="6" t="s">
        <v>1613</v>
      </c>
      <c r="E810" s="10">
        <v>43234</v>
      </c>
      <c r="F810" s="6" t="s">
        <v>1865</v>
      </c>
      <c r="G810" s="6" t="s">
        <v>63</v>
      </c>
      <c r="H810" s="25">
        <v>649364.4</v>
      </c>
      <c r="I810" s="6" t="s">
        <v>105</v>
      </c>
      <c r="J810" s="6" t="s">
        <v>1866</v>
      </c>
      <c r="K810" s="6" t="s">
        <v>1867</v>
      </c>
      <c r="L810" s="6" t="s">
        <v>1868</v>
      </c>
      <c r="M810" s="6" t="s">
        <v>1869</v>
      </c>
      <c r="N810" s="6" t="s">
        <v>1870</v>
      </c>
      <c r="O810" s="25">
        <v>649364.4</v>
      </c>
      <c r="P810" s="11">
        <v>617424.06000000006</v>
      </c>
      <c r="Q810" s="6" t="s">
        <v>1744</v>
      </c>
      <c r="R810" s="25">
        <v>791.90780487804886</v>
      </c>
      <c r="S810" s="6" t="s">
        <v>41</v>
      </c>
      <c r="T810" s="6">
        <v>4431</v>
      </c>
      <c r="U810" s="13" t="s">
        <v>42</v>
      </c>
      <c r="V810" s="43" t="s">
        <v>43</v>
      </c>
      <c r="W810" s="10">
        <v>43235</v>
      </c>
      <c r="X810" s="10">
        <v>43271</v>
      </c>
      <c r="Y810" s="6" t="s">
        <v>402</v>
      </c>
      <c r="Z810" s="6" t="s">
        <v>715</v>
      </c>
      <c r="AA810" s="6" t="s">
        <v>1745</v>
      </c>
      <c r="AB810" s="21" t="s">
        <v>2808</v>
      </c>
      <c r="AC810" s="6" t="s">
        <v>2438</v>
      </c>
      <c r="AD810" s="6"/>
    </row>
    <row r="811" spans="1:30" ht="69.95" customHeight="1">
      <c r="A811" s="16"/>
      <c r="B811" s="6">
        <v>2018</v>
      </c>
      <c r="C811" s="6" t="s">
        <v>62</v>
      </c>
      <c r="D811" s="6" t="s">
        <v>1614</v>
      </c>
      <c r="E811" s="10">
        <v>43269</v>
      </c>
      <c r="F811" s="6" t="s">
        <v>1871</v>
      </c>
      <c r="G811" s="6" t="s">
        <v>63</v>
      </c>
      <c r="H811" s="25">
        <v>1200856.94</v>
      </c>
      <c r="I811" s="6" t="s">
        <v>1746</v>
      </c>
      <c r="J811" s="6" t="s">
        <v>1830</v>
      </c>
      <c r="K811" s="6" t="s">
        <v>1872</v>
      </c>
      <c r="L811" s="6" t="s">
        <v>1873</v>
      </c>
      <c r="M811" s="6" t="s">
        <v>1874</v>
      </c>
      <c r="N811" s="6" t="s">
        <v>1875</v>
      </c>
      <c r="O811" s="25">
        <v>1200856.94</v>
      </c>
      <c r="P811" s="11">
        <v>1200856.8999999999</v>
      </c>
      <c r="Q811" s="6" t="s">
        <v>1747</v>
      </c>
      <c r="R811" s="25">
        <v>2001.4282333333333</v>
      </c>
      <c r="S811" s="6" t="s">
        <v>41</v>
      </c>
      <c r="T811" s="6">
        <v>3685</v>
      </c>
      <c r="U811" s="13" t="s">
        <v>42</v>
      </c>
      <c r="V811" s="43" t="s">
        <v>43</v>
      </c>
      <c r="W811" s="10">
        <v>43269</v>
      </c>
      <c r="X811" s="10">
        <v>43327</v>
      </c>
      <c r="Y811" s="6" t="s">
        <v>815</v>
      </c>
      <c r="Z811" s="6" t="s">
        <v>816</v>
      </c>
      <c r="AA811" s="6" t="s">
        <v>130</v>
      </c>
      <c r="AB811" s="21" t="s">
        <v>2408</v>
      </c>
      <c r="AC811" s="6" t="s">
        <v>2438</v>
      </c>
      <c r="AD811" s="26"/>
    </row>
    <row r="812" spans="1:30" ht="69.95" customHeight="1">
      <c r="A812" s="16"/>
      <c r="B812" s="6">
        <v>2018</v>
      </c>
      <c r="C812" s="6" t="s">
        <v>62</v>
      </c>
      <c r="D812" s="6" t="s">
        <v>1615</v>
      </c>
      <c r="E812" s="10">
        <v>43234</v>
      </c>
      <c r="F812" s="6" t="s">
        <v>1876</v>
      </c>
      <c r="G812" s="6" t="s">
        <v>63</v>
      </c>
      <c r="H812" s="25">
        <v>581876.29</v>
      </c>
      <c r="I812" s="6" t="s">
        <v>609</v>
      </c>
      <c r="J812" s="6" t="s">
        <v>1877</v>
      </c>
      <c r="K812" s="6" t="s">
        <v>1878</v>
      </c>
      <c r="L812" s="6" t="s">
        <v>1879</v>
      </c>
      <c r="M812" s="6" t="s">
        <v>1880</v>
      </c>
      <c r="N812" s="6" t="s">
        <v>1881</v>
      </c>
      <c r="O812" s="25">
        <v>581876.29</v>
      </c>
      <c r="P812" s="11">
        <v>581876.28</v>
      </c>
      <c r="Q812" s="6" t="s">
        <v>1748</v>
      </c>
      <c r="R812" s="25">
        <v>534.81276654411772</v>
      </c>
      <c r="S812" s="6" t="s">
        <v>41</v>
      </c>
      <c r="T812" s="6">
        <v>8369</v>
      </c>
      <c r="U812" s="13" t="s">
        <v>42</v>
      </c>
      <c r="V812" s="7" t="s">
        <v>43</v>
      </c>
      <c r="W812" s="10">
        <v>43238</v>
      </c>
      <c r="X812" s="10">
        <v>43273</v>
      </c>
      <c r="Y812" s="6" t="s">
        <v>436</v>
      </c>
      <c r="Z812" s="6" t="s">
        <v>1749</v>
      </c>
      <c r="AA812" s="6" t="s">
        <v>1241</v>
      </c>
      <c r="AB812" s="21" t="s">
        <v>2409</v>
      </c>
      <c r="AC812" s="6" t="s">
        <v>2438</v>
      </c>
      <c r="AD812" s="26"/>
    </row>
    <row r="813" spans="1:30" ht="69.95" customHeight="1">
      <c r="A813" s="16"/>
      <c r="B813" s="6">
        <v>2018</v>
      </c>
      <c r="C813" s="6" t="s">
        <v>62</v>
      </c>
      <c r="D813" s="6" t="s">
        <v>1616</v>
      </c>
      <c r="E813" s="10">
        <v>43234</v>
      </c>
      <c r="F813" s="6" t="s">
        <v>1882</v>
      </c>
      <c r="G813" s="6" t="s">
        <v>63</v>
      </c>
      <c r="H813" s="25">
        <v>894692.6</v>
      </c>
      <c r="I813" s="6" t="s">
        <v>1750</v>
      </c>
      <c r="J813" s="6" t="s">
        <v>1883</v>
      </c>
      <c r="K813" s="6" t="s">
        <v>1884</v>
      </c>
      <c r="L813" s="6" t="s">
        <v>1885</v>
      </c>
      <c r="M813" s="6" t="s">
        <v>1886</v>
      </c>
      <c r="N813" s="6" t="s">
        <v>1887</v>
      </c>
      <c r="O813" s="25">
        <v>894692.6</v>
      </c>
      <c r="P813" s="11">
        <v>894625.25</v>
      </c>
      <c r="Q813" s="6" t="s">
        <v>1751</v>
      </c>
      <c r="R813" s="25">
        <v>178938.52</v>
      </c>
      <c r="S813" s="6" t="s">
        <v>41</v>
      </c>
      <c r="T813" s="6">
        <v>236152</v>
      </c>
      <c r="U813" s="13" t="s">
        <v>42</v>
      </c>
      <c r="V813" s="7" t="s">
        <v>43</v>
      </c>
      <c r="W813" s="10">
        <v>43235</v>
      </c>
      <c r="X813" s="10">
        <v>43281</v>
      </c>
      <c r="Y813" s="6" t="s">
        <v>394</v>
      </c>
      <c r="Z813" s="6" t="s">
        <v>279</v>
      </c>
      <c r="AA813" s="6" t="s">
        <v>78</v>
      </c>
      <c r="AB813" s="21" t="s">
        <v>2274</v>
      </c>
      <c r="AC813" s="6" t="s">
        <v>2438</v>
      </c>
      <c r="AD813" s="26"/>
    </row>
    <row r="814" spans="1:30" ht="69.95" customHeight="1">
      <c r="A814" s="16"/>
      <c r="B814" s="6">
        <v>2018</v>
      </c>
      <c r="C814" s="6" t="s">
        <v>62</v>
      </c>
      <c r="D814" s="6" t="s">
        <v>1617</v>
      </c>
      <c r="E814" s="10">
        <v>43234</v>
      </c>
      <c r="F814" s="32" t="s">
        <v>1888</v>
      </c>
      <c r="G814" s="6" t="s">
        <v>63</v>
      </c>
      <c r="H814" s="25">
        <v>1665982.64</v>
      </c>
      <c r="I814" s="6" t="s">
        <v>90</v>
      </c>
      <c r="J814" s="6" t="s">
        <v>1889</v>
      </c>
      <c r="K814" s="6" t="s">
        <v>1890</v>
      </c>
      <c r="L814" s="6" t="s">
        <v>1891</v>
      </c>
      <c r="M814" s="6" t="s">
        <v>1892</v>
      </c>
      <c r="N814" s="6" t="s">
        <v>1893</v>
      </c>
      <c r="O814" s="25">
        <v>1665982.64</v>
      </c>
      <c r="P814" s="11">
        <v>1665982.25</v>
      </c>
      <c r="Q814" s="6" t="s">
        <v>1752</v>
      </c>
      <c r="R814" s="25">
        <v>832.99131999999997</v>
      </c>
      <c r="S814" s="6" t="s">
        <v>41</v>
      </c>
      <c r="T814" s="6">
        <v>869</v>
      </c>
      <c r="U814" s="13" t="s">
        <v>42</v>
      </c>
      <c r="V814" s="43" t="s">
        <v>43</v>
      </c>
      <c r="W814" s="10">
        <v>43237</v>
      </c>
      <c r="X814" s="10">
        <v>43281</v>
      </c>
      <c r="Y814" s="6" t="s">
        <v>441</v>
      </c>
      <c r="Z814" s="6" t="s">
        <v>442</v>
      </c>
      <c r="AA814" s="6" t="s">
        <v>443</v>
      </c>
      <c r="AB814" s="21" t="s">
        <v>2811</v>
      </c>
      <c r="AC814" s="6" t="s">
        <v>2438</v>
      </c>
      <c r="AD814" s="26"/>
    </row>
    <row r="815" spans="1:30" ht="69.95" customHeight="1">
      <c r="A815" s="16"/>
      <c r="B815" s="6">
        <v>2018</v>
      </c>
      <c r="C815" s="6" t="s">
        <v>62</v>
      </c>
      <c r="D815" s="6" t="s">
        <v>1618</v>
      </c>
      <c r="E815" s="10">
        <v>43252</v>
      </c>
      <c r="F815" s="6" t="s">
        <v>1894</v>
      </c>
      <c r="G815" s="6" t="s">
        <v>63</v>
      </c>
      <c r="H815" s="25">
        <v>1259555.1000000001</v>
      </c>
      <c r="I815" s="6" t="s">
        <v>1753</v>
      </c>
      <c r="J815" s="6" t="s">
        <v>1895</v>
      </c>
      <c r="K815" s="6" t="s">
        <v>1708</v>
      </c>
      <c r="L815" s="6" t="s">
        <v>1896</v>
      </c>
      <c r="M815" s="6" t="s">
        <v>1897</v>
      </c>
      <c r="N815" s="6" t="s">
        <v>1898</v>
      </c>
      <c r="O815" s="25">
        <v>1259555.1000000001</v>
      </c>
      <c r="P815" s="11">
        <v>1259518.4500000002</v>
      </c>
      <c r="Q815" s="6" t="s">
        <v>1754</v>
      </c>
      <c r="R815" s="25">
        <v>286.9146013667426</v>
      </c>
      <c r="S815" s="6" t="s">
        <v>41</v>
      </c>
      <c r="T815" s="6">
        <v>5239</v>
      </c>
      <c r="U815" s="13" t="s">
        <v>42</v>
      </c>
      <c r="V815" s="7" t="s">
        <v>43</v>
      </c>
      <c r="W815" s="10">
        <v>43255</v>
      </c>
      <c r="X815" s="10">
        <v>43312</v>
      </c>
      <c r="Y815" s="6" t="s">
        <v>411</v>
      </c>
      <c r="Z815" s="6" t="s">
        <v>412</v>
      </c>
      <c r="AA815" s="6" t="s">
        <v>413</v>
      </c>
      <c r="AB815" s="21" t="s">
        <v>2812</v>
      </c>
      <c r="AC815" s="6" t="s">
        <v>2438</v>
      </c>
      <c r="AD815" s="26"/>
    </row>
    <row r="816" spans="1:30" ht="69.95" customHeight="1">
      <c r="A816" s="16"/>
      <c r="B816" s="6">
        <v>2018</v>
      </c>
      <c r="C816" s="6" t="s">
        <v>62</v>
      </c>
      <c r="D816" s="6" t="s">
        <v>1619</v>
      </c>
      <c r="E816" s="10">
        <v>43252</v>
      </c>
      <c r="F816" s="6" t="s">
        <v>1899</v>
      </c>
      <c r="G816" s="6" t="s">
        <v>63</v>
      </c>
      <c r="H816" s="25">
        <v>1737208.12</v>
      </c>
      <c r="I816" s="6" t="s">
        <v>1753</v>
      </c>
      <c r="J816" s="6" t="s">
        <v>1900</v>
      </c>
      <c r="K816" s="6" t="s">
        <v>1901</v>
      </c>
      <c r="L816" s="6" t="s">
        <v>1902</v>
      </c>
      <c r="M816" s="6" t="s">
        <v>1903</v>
      </c>
      <c r="N816" s="6" t="s">
        <v>1904</v>
      </c>
      <c r="O816" s="25">
        <v>1737208.12</v>
      </c>
      <c r="P816" s="11">
        <v>1728389.51</v>
      </c>
      <c r="Q816" s="6" t="s">
        <v>1755</v>
      </c>
      <c r="R816" s="25">
        <v>3895.0854708520183</v>
      </c>
      <c r="S816" s="6" t="s">
        <v>41</v>
      </c>
      <c r="T816" s="6">
        <v>5239</v>
      </c>
      <c r="U816" s="13" t="s">
        <v>42</v>
      </c>
      <c r="V816" s="7" t="s">
        <v>43</v>
      </c>
      <c r="W816" s="10">
        <v>43255</v>
      </c>
      <c r="X816" s="10">
        <v>43312</v>
      </c>
      <c r="Y816" s="6" t="s">
        <v>411</v>
      </c>
      <c r="Z816" s="6" t="s">
        <v>412</v>
      </c>
      <c r="AA816" s="6" t="s">
        <v>413</v>
      </c>
      <c r="AB816" s="21" t="s">
        <v>2410</v>
      </c>
      <c r="AC816" s="6" t="s">
        <v>2438</v>
      </c>
      <c r="AD816" s="26"/>
    </row>
    <row r="817" spans="1:30" ht="69.95" customHeight="1">
      <c r="A817" s="16"/>
      <c r="B817" s="6">
        <v>2018</v>
      </c>
      <c r="C817" s="6" t="s">
        <v>62</v>
      </c>
      <c r="D817" s="6" t="s">
        <v>1620</v>
      </c>
      <c r="E817" s="10">
        <v>43241</v>
      </c>
      <c r="F817" s="6" t="s">
        <v>1905</v>
      </c>
      <c r="G817" s="6" t="s">
        <v>63</v>
      </c>
      <c r="H817" s="25">
        <v>604216.80000000005</v>
      </c>
      <c r="I817" s="6" t="s">
        <v>1756</v>
      </c>
      <c r="J817" s="6" t="s">
        <v>1906</v>
      </c>
      <c r="K817" s="6" t="s">
        <v>1907</v>
      </c>
      <c r="L817" s="6" t="s">
        <v>1908</v>
      </c>
      <c r="M817" s="6" t="s">
        <v>1909</v>
      </c>
      <c r="N817" s="6" t="s">
        <v>1910</v>
      </c>
      <c r="O817" s="25">
        <v>604216.80000000005</v>
      </c>
      <c r="P817" s="11">
        <v>539424.38</v>
      </c>
      <c r="Q817" s="6" t="s">
        <v>1757</v>
      </c>
      <c r="R817" s="25">
        <v>2369.4776470588235</v>
      </c>
      <c r="S817" s="6" t="s">
        <v>41</v>
      </c>
      <c r="T817" s="6">
        <v>236</v>
      </c>
      <c r="U817" s="13" t="s">
        <v>42</v>
      </c>
      <c r="V817" s="7" t="s">
        <v>43</v>
      </c>
      <c r="W817" s="10">
        <v>43242</v>
      </c>
      <c r="X817" s="10">
        <v>43296</v>
      </c>
      <c r="Y817" s="6" t="s">
        <v>460</v>
      </c>
      <c r="Z817" s="6" t="s">
        <v>302</v>
      </c>
      <c r="AA817" s="6" t="s">
        <v>303</v>
      </c>
      <c r="AB817" s="21" t="s">
        <v>2411</v>
      </c>
      <c r="AC817" s="6" t="s">
        <v>2438</v>
      </c>
      <c r="AD817" s="26"/>
    </row>
    <row r="818" spans="1:30" ht="69.95" customHeight="1">
      <c r="A818" s="16"/>
      <c r="B818" s="6">
        <v>2018</v>
      </c>
      <c r="C818" s="6" t="s">
        <v>62</v>
      </c>
      <c r="D818" s="6" t="s">
        <v>1621</v>
      </c>
      <c r="E818" s="10">
        <v>43231</v>
      </c>
      <c r="F818" s="6" t="s">
        <v>1911</v>
      </c>
      <c r="G818" s="6" t="s">
        <v>63</v>
      </c>
      <c r="H818" s="25">
        <v>1415720.18</v>
      </c>
      <c r="I818" s="6" t="s">
        <v>1317</v>
      </c>
      <c r="J818" s="6" t="s">
        <v>1712</v>
      </c>
      <c r="K818" s="6" t="s">
        <v>1912</v>
      </c>
      <c r="L818" s="6" t="s">
        <v>1913</v>
      </c>
      <c r="M818" s="6" t="s">
        <v>1914</v>
      </c>
      <c r="N818" s="6" t="s">
        <v>1915</v>
      </c>
      <c r="O818" s="25">
        <v>1415720.18</v>
      </c>
      <c r="P818" s="11">
        <v>1415720.18</v>
      </c>
      <c r="Q818" s="6" t="s">
        <v>120</v>
      </c>
      <c r="R818" s="25">
        <v>1415720.18</v>
      </c>
      <c r="S818" s="6" t="s">
        <v>41</v>
      </c>
      <c r="T818" s="6" t="s">
        <v>121</v>
      </c>
      <c r="U818" s="13" t="s">
        <v>42</v>
      </c>
      <c r="V818" s="6" t="s">
        <v>373</v>
      </c>
      <c r="W818" s="10">
        <v>43234</v>
      </c>
      <c r="X818" s="10">
        <v>43363</v>
      </c>
      <c r="Y818" s="6" t="s">
        <v>521</v>
      </c>
      <c r="Z818" s="6" t="s">
        <v>1758</v>
      </c>
      <c r="AA818" s="6" t="s">
        <v>1759</v>
      </c>
      <c r="AB818" s="21" t="s">
        <v>2412</v>
      </c>
      <c r="AC818" s="6" t="s">
        <v>2438</v>
      </c>
      <c r="AD818" s="26"/>
    </row>
    <row r="819" spans="1:30" ht="69.95" customHeight="1">
      <c r="A819" s="16"/>
      <c r="B819" s="6">
        <v>2018</v>
      </c>
      <c r="C819" s="6" t="s">
        <v>62</v>
      </c>
      <c r="D819" s="6" t="s">
        <v>1622</v>
      </c>
      <c r="E819" s="10">
        <v>43266</v>
      </c>
      <c r="F819" s="6" t="s">
        <v>1916</v>
      </c>
      <c r="G819" s="6" t="s">
        <v>63</v>
      </c>
      <c r="H819" s="25">
        <v>686483.01</v>
      </c>
      <c r="I819" s="6" t="s">
        <v>1760</v>
      </c>
      <c r="J819" s="6" t="s">
        <v>1823</v>
      </c>
      <c r="K819" s="6" t="s">
        <v>1917</v>
      </c>
      <c r="L819" s="6" t="s">
        <v>1918</v>
      </c>
      <c r="M819" s="6" t="s">
        <v>1919</v>
      </c>
      <c r="N819" s="6" t="s">
        <v>1920</v>
      </c>
      <c r="O819" s="25">
        <v>686483.01</v>
      </c>
      <c r="P819" s="11">
        <v>686005.14</v>
      </c>
      <c r="Q819" s="6" t="s">
        <v>1761</v>
      </c>
      <c r="R819" s="25">
        <v>8581.0376250000008</v>
      </c>
      <c r="S819" s="6" t="s">
        <v>41</v>
      </c>
      <c r="T819" s="6">
        <v>629</v>
      </c>
      <c r="U819" s="13" t="s">
        <v>42</v>
      </c>
      <c r="V819" s="7" t="s">
        <v>43</v>
      </c>
      <c r="W819" s="10">
        <v>43269</v>
      </c>
      <c r="X819" s="10">
        <v>43358</v>
      </c>
      <c r="Y819" s="6" t="s">
        <v>838</v>
      </c>
      <c r="Z819" s="6" t="s">
        <v>572</v>
      </c>
      <c r="AA819" s="6" t="s">
        <v>573</v>
      </c>
      <c r="AB819" s="21" t="s">
        <v>2413</v>
      </c>
      <c r="AC819" s="6" t="s">
        <v>2438</v>
      </c>
      <c r="AD819" s="26"/>
    </row>
    <row r="820" spans="1:30" ht="69.95" customHeight="1">
      <c r="A820" s="16"/>
      <c r="B820" s="6">
        <v>2018</v>
      </c>
      <c r="C820" s="6" t="s">
        <v>62</v>
      </c>
      <c r="D820" s="6" t="s">
        <v>1623</v>
      </c>
      <c r="E820" s="10">
        <v>43266</v>
      </c>
      <c r="F820" s="6" t="s">
        <v>1921</v>
      </c>
      <c r="G820" s="6" t="s">
        <v>63</v>
      </c>
      <c r="H820" s="25">
        <v>1790644.31</v>
      </c>
      <c r="I820" s="6" t="s">
        <v>1762</v>
      </c>
      <c r="J820" s="6" t="s">
        <v>1922</v>
      </c>
      <c r="K820" s="6" t="s">
        <v>1708</v>
      </c>
      <c r="L820" s="6" t="s">
        <v>1923</v>
      </c>
      <c r="M820" s="6" t="s">
        <v>1924</v>
      </c>
      <c r="N820" s="6" t="s">
        <v>1925</v>
      </c>
      <c r="O820" s="25">
        <v>1790644.31</v>
      </c>
      <c r="P820" s="11">
        <v>1790644.31</v>
      </c>
      <c r="Q820" s="6" t="s">
        <v>1763</v>
      </c>
      <c r="R820" s="25">
        <v>6559.1366666666672</v>
      </c>
      <c r="S820" s="6" t="s">
        <v>41</v>
      </c>
      <c r="T820" s="6">
        <v>2301</v>
      </c>
      <c r="U820" s="13" t="s">
        <v>42</v>
      </c>
      <c r="V820" s="6" t="s">
        <v>373</v>
      </c>
      <c r="W820" s="10">
        <v>43269</v>
      </c>
      <c r="X820" s="10">
        <v>43337</v>
      </c>
      <c r="Y820" s="6" t="s">
        <v>693</v>
      </c>
      <c r="Z820" s="6" t="s">
        <v>1764</v>
      </c>
      <c r="AA820" s="6" t="s">
        <v>73</v>
      </c>
      <c r="AB820" s="21" t="s">
        <v>2414</v>
      </c>
      <c r="AC820" s="6" t="s">
        <v>2438</v>
      </c>
      <c r="AD820" s="26"/>
    </row>
    <row r="821" spans="1:30" ht="69.95" customHeight="1">
      <c r="A821" s="16"/>
      <c r="B821" s="6">
        <v>2018</v>
      </c>
      <c r="C821" s="6" t="s">
        <v>139</v>
      </c>
      <c r="D821" s="6" t="s">
        <v>1624</v>
      </c>
      <c r="E821" s="10">
        <v>43328</v>
      </c>
      <c r="F821" s="6" t="s">
        <v>1926</v>
      </c>
      <c r="G821" s="6" t="s">
        <v>3334</v>
      </c>
      <c r="H821" s="25">
        <v>4829696.8600000003</v>
      </c>
      <c r="I821" s="6" t="s">
        <v>1765</v>
      </c>
      <c r="J821" s="6" t="s">
        <v>1927</v>
      </c>
      <c r="K821" s="6" t="s">
        <v>1928</v>
      </c>
      <c r="L821" s="6" t="s">
        <v>1929</v>
      </c>
      <c r="M821" s="6" t="s">
        <v>1930</v>
      </c>
      <c r="N821" s="6" t="s">
        <v>1931</v>
      </c>
      <c r="O821" s="25">
        <v>4829696.8600000003</v>
      </c>
      <c r="P821" s="11">
        <v>4266198.74</v>
      </c>
      <c r="Q821" s="6" t="s">
        <v>1766</v>
      </c>
      <c r="R821" s="25">
        <v>5463.4579864253401</v>
      </c>
      <c r="S821" s="6" t="s">
        <v>41</v>
      </c>
      <c r="T821" s="6">
        <v>263</v>
      </c>
      <c r="U821" s="13" t="s">
        <v>42</v>
      </c>
      <c r="V821" s="43" t="s">
        <v>43</v>
      </c>
      <c r="W821" s="10">
        <v>43328</v>
      </c>
      <c r="X821" s="10">
        <v>43417</v>
      </c>
      <c r="Y821" s="6" t="s">
        <v>753</v>
      </c>
      <c r="Z821" s="6" t="s">
        <v>827</v>
      </c>
      <c r="AA821" s="6" t="s">
        <v>755</v>
      </c>
      <c r="AB821" s="21" t="s">
        <v>2807</v>
      </c>
      <c r="AC821" s="6" t="s">
        <v>2438</v>
      </c>
      <c r="AD821" s="6"/>
    </row>
    <row r="822" spans="1:30" ht="69.95" customHeight="1">
      <c r="A822" s="16"/>
      <c r="B822" s="6">
        <v>2018</v>
      </c>
      <c r="C822" s="6" t="s">
        <v>139</v>
      </c>
      <c r="D822" s="6" t="s">
        <v>1625</v>
      </c>
      <c r="E822" s="10">
        <v>43370</v>
      </c>
      <c r="F822" s="6" t="s">
        <v>1932</v>
      </c>
      <c r="G822" s="6" t="s">
        <v>63</v>
      </c>
      <c r="H822" s="25">
        <v>7282055.1699999999</v>
      </c>
      <c r="I822" s="6" t="s">
        <v>1753</v>
      </c>
      <c r="J822" s="6" t="s">
        <v>1933</v>
      </c>
      <c r="K822" s="6" t="s">
        <v>1934</v>
      </c>
      <c r="L822" s="6" t="s">
        <v>1935</v>
      </c>
      <c r="M822" s="6" t="s">
        <v>1936</v>
      </c>
      <c r="N822" s="6" t="s">
        <v>1937</v>
      </c>
      <c r="O822" s="25">
        <v>7282055.1699999999</v>
      </c>
      <c r="P822" s="11">
        <v>7282055.1699999999</v>
      </c>
      <c r="Q822" s="6" t="s">
        <v>1767</v>
      </c>
      <c r="R822" s="25">
        <v>4608.8956772151896</v>
      </c>
      <c r="S822" s="6" t="s">
        <v>41</v>
      </c>
      <c r="T822" s="6">
        <v>3988</v>
      </c>
      <c r="U822" s="13" t="s">
        <v>42</v>
      </c>
      <c r="V822" s="6" t="s">
        <v>43</v>
      </c>
      <c r="W822" s="10">
        <v>43381</v>
      </c>
      <c r="X822" s="10">
        <v>43460</v>
      </c>
      <c r="Y822" s="6" t="s">
        <v>859</v>
      </c>
      <c r="Z822" s="6" t="s">
        <v>860</v>
      </c>
      <c r="AA822" s="6" t="s">
        <v>861</v>
      </c>
      <c r="AB822" s="21" t="s">
        <v>2882</v>
      </c>
      <c r="AC822" s="6" t="s">
        <v>2438</v>
      </c>
      <c r="AD822" s="6"/>
    </row>
    <row r="823" spans="1:30" ht="69.95" customHeight="1">
      <c r="A823" s="16"/>
      <c r="B823" s="6">
        <v>2018</v>
      </c>
      <c r="C823" s="6" t="s">
        <v>139</v>
      </c>
      <c r="D823" s="6" t="s">
        <v>1626</v>
      </c>
      <c r="E823" s="10">
        <v>43370</v>
      </c>
      <c r="F823" s="6" t="s">
        <v>1938</v>
      </c>
      <c r="G823" s="6" t="s">
        <v>63</v>
      </c>
      <c r="H823" s="25">
        <v>4693352</v>
      </c>
      <c r="I823" s="6" t="s">
        <v>1753</v>
      </c>
      <c r="J823" s="6" t="s">
        <v>1823</v>
      </c>
      <c r="K823" s="6" t="s">
        <v>1939</v>
      </c>
      <c r="L823" s="6" t="s">
        <v>1940</v>
      </c>
      <c r="M823" s="6" t="s">
        <v>1941</v>
      </c>
      <c r="N823" s="6" t="s">
        <v>1942</v>
      </c>
      <c r="O823" s="25">
        <v>4693352</v>
      </c>
      <c r="P823" s="11">
        <v>4474483.3900000006</v>
      </c>
      <c r="Q823" s="6" t="s">
        <v>1768</v>
      </c>
      <c r="R823" s="25">
        <v>9025.6769230769223</v>
      </c>
      <c r="S823" s="6" t="s">
        <v>41</v>
      </c>
      <c r="T823" s="6">
        <v>3988</v>
      </c>
      <c r="U823" s="13" t="s">
        <v>42</v>
      </c>
      <c r="V823" s="6" t="s">
        <v>43</v>
      </c>
      <c r="W823" s="10">
        <v>43381</v>
      </c>
      <c r="X823" s="10">
        <v>43460</v>
      </c>
      <c r="Y823" s="6" t="s">
        <v>859</v>
      </c>
      <c r="Z823" s="6" t="s">
        <v>860</v>
      </c>
      <c r="AA823" s="6" t="s">
        <v>861</v>
      </c>
      <c r="AB823" s="21" t="s">
        <v>2881</v>
      </c>
      <c r="AC823" s="6" t="s">
        <v>2438</v>
      </c>
      <c r="AD823" s="6"/>
    </row>
    <row r="824" spans="1:30" ht="69.95" customHeight="1">
      <c r="A824" s="16"/>
      <c r="B824" s="6">
        <v>2018</v>
      </c>
      <c r="C824" s="6" t="s">
        <v>139</v>
      </c>
      <c r="D824" s="6" t="s">
        <v>1627</v>
      </c>
      <c r="E824" s="10">
        <v>43370</v>
      </c>
      <c r="F824" s="6" t="s">
        <v>1943</v>
      </c>
      <c r="G824" s="6" t="s">
        <v>63</v>
      </c>
      <c r="H824" s="25">
        <v>5172049.45</v>
      </c>
      <c r="I824" s="6" t="s">
        <v>1944</v>
      </c>
      <c r="J824" s="6" t="s">
        <v>1945</v>
      </c>
      <c r="K824" s="6" t="s">
        <v>1946</v>
      </c>
      <c r="L824" s="6" t="s">
        <v>1913</v>
      </c>
      <c r="M824" s="6" t="s">
        <v>1947</v>
      </c>
      <c r="N824" s="6" t="s">
        <v>1948</v>
      </c>
      <c r="O824" s="25">
        <v>5172049.45</v>
      </c>
      <c r="P824" s="11">
        <v>6366818.9100000001</v>
      </c>
      <c r="Q824" s="6" t="s">
        <v>1769</v>
      </c>
      <c r="R824" s="25">
        <v>2105.8833265472313</v>
      </c>
      <c r="S824" s="6" t="s">
        <v>41</v>
      </c>
      <c r="T824" s="6">
        <v>5887</v>
      </c>
      <c r="U824" s="13" t="s">
        <v>42</v>
      </c>
      <c r="V824" s="6" t="s">
        <v>43</v>
      </c>
      <c r="W824" s="10">
        <v>43381</v>
      </c>
      <c r="X824" s="10">
        <v>43460</v>
      </c>
      <c r="Y824" s="6" t="s">
        <v>838</v>
      </c>
      <c r="Z824" s="6" t="s">
        <v>572</v>
      </c>
      <c r="AA824" s="6" t="s">
        <v>573</v>
      </c>
      <c r="AB824" s="21" t="s">
        <v>2880</v>
      </c>
      <c r="AC824" s="21" t="s">
        <v>3301</v>
      </c>
      <c r="AD824" s="26"/>
    </row>
    <row r="825" spans="1:30" ht="69.95" customHeight="1">
      <c r="A825" s="16"/>
      <c r="B825" s="6">
        <v>2018</v>
      </c>
      <c r="C825" s="6" t="s">
        <v>139</v>
      </c>
      <c r="D825" s="6" t="s">
        <v>1628</v>
      </c>
      <c r="E825" s="10">
        <v>43370</v>
      </c>
      <c r="F825" s="6" t="s">
        <v>1949</v>
      </c>
      <c r="G825" s="6" t="s">
        <v>63</v>
      </c>
      <c r="H825" s="25">
        <v>5709686.7999999998</v>
      </c>
      <c r="I825" s="6" t="s">
        <v>1944</v>
      </c>
      <c r="J825" s="6" t="s">
        <v>1950</v>
      </c>
      <c r="K825" s="6" t="s">
        <v>1951</v>
      </c>
      <c r="L825" s="6" t="s">
        <v>1952</v>
      </c>
      <c r="M825" s="6" t="s">
        <v>1953</v>
      </c>
      <c r="N825" s="6" t="s">
        <v>1954</v>
      </c>
      <c r="O825" s="25">
        <v>5709686.7999999998</v>
      </c>
      <c r="P825" s="11">
        <v>5412351.6299999999</v>
      </c>
      <c r="Q825" s="6" t="s">
        <v>1770</v>
      </c>
      <c r="R825" s="25">
        <v>943.28214108706425</v>
      </c>
      <c r="S825" s="6" t="s">
        <v>41</v>
      </c>
      <c r="T825" s="6">
        <v>5887</v>
      </c>
      <c r="U825" s="13" t="s">
        <v>42</v>
      </c>
      <c r="V825" s="43" t="s">
        <v>43</v>
      </c>
      <c r="W825" s="10">
        <v>43381</v>
      </c>
      <c r="X825" s="10">
        <v>43460</v>
      </c>
      <c r="Y825" s="6" t="s">
        <v>838</v>
      </c>
      <c r="Z825" s="6" t="s">
        <v>572</v>
      </c>
      <c r="AA825" s="6" t="s">
        <v>573</v>
      </c>
      <c r="AB825" s="21" t="s">
        <v>2280</v>
      </c>
      <c r="AC825" s="6" t="s">
        <v>2438</v>
      </c>
      <c r="AD825" s="26"/>
    </row>
    <row r="826" spans="1:30" ht="69.95" customHeight="1">
      <c r="A826" s="16"/>
      <c r="B826" s="6">
        <v>2018</v>
      </c>
      <c r="C826" s="6" t="s">
        <v>139</v>
      </c>
      <c r="D826" s="6" t="s">
        <v>1629</v>
      </c>
      <c r="E826" s="10">
        <v>43370</v>
      </c>
      <c r="F826" s="6" t="s">
        <v>1955</v>
      </c>
      <c r="G826" s="6" t="s">
        <v>63</v>
      </c>
      <c r="H826" s="25">
        <v>6109995.0199999996</v>
      </c>
      <c r="I826" s="6" t="s">
        <v>1944</v>
      </c>
      <c r="J826" s="6" t="s">
        <v>1956</v>
      </c>
      <c r="K826" s="6" t="s">
        <v>1957</v>
      </c>
      <c r="L826" s="6" t="s">
        <v>1958</v>
      </c>
      <c r="M826" s="6" t="s">
        <v>1959</v>
      </c>
      <c r="N826" s="6" t="s">
        <v>1960</v>
      </c>
      <c r="O826" s="25">
        <v>6109995.0199999996</v>
      </c>
      <c r="P826" s="11">
        <v>5680476.4507999998</v>
      </c>
      <c r="Q826" s="6" t="s">
        <v>1771</v>
      </c>
      <c r="R826" s="25">
        <v>2399.8409347996858</v>
      </c>
      <c r="S826" s="6" t="s">
        <v>41</v>
      </c>
      <c r="T826" s="6">
        <v>5887</v>
      </c>
      <c r="U826" s="13" t="s">
        <v>42</v>
      </c>
      <c r="V826" s="43" t="s">
        <v>43</v>
      </c>
      <c r="W826" s="10">
        <v>43381</v>
      </c>
      <c r="X826" s="10">
        <v>43460</v>
      </c>
      <c r="Y826" s="6" t="s">
        <v>838</v>
      </c>
      <c r="Z826" s="6" t="s">
        <v>572</v>
      </c>
      <c r="AA826" s="6" t="s">
        <v>573</v>
      </c>
      <c r="AB826" s="21" t="s">
        <v>2281</v>
      </c>
      <c r="AC826" s="6" t="s">
        <v>2438</v>
      </c>
      <c r="AD826" s="26"/>
    </row>
    <row r="827" spans="1:30" ht="69.95" customHeight="1">
      <c r="A827" s="16"/>
      <c r="B827" s="6">
        <v>2018</v>
      </c>
      <c r="C827" s="6" t="s">
        <v>139</v>
      </c>
      <c r="D827" s="6" t="s">
        <v>1630</v>
      </c>
      <c r="E827" s="10">
        <v>43370</v>
      </c>
      <c r="F827" s="6" t="s">
        <v>1961</v>
      </c>
      <c r="G827" s="6" t="s">
        <v>63</v>
      </c>
      <c r="H827" s="25">
        <v>7735620.2800000003</v>
      </c>
      <c r="I827" s="6" t="s">
        <v>1962</v>
      </c>
      <c r="J827" s="6" t="s">
        <v>1963</v>
      </c>
      <c r="K827" s="6" t="s">
        <v>1964</v>
      </c>
      <c r="L827" s="6" t="s">
        <v>1939</v>
      </c>
      <c r="M827" s="6" t="s">
        <v>1965</v>
      </c>
      <c r="N827" s="6" t="s">
        <v>1966</v>
      </c>
      <c r="O827" s="25">
        <v>7735620.2800000003</v>
      </c>
      <c r="P827" s="11">
        <v>6041339.9199999999</v>
      </c>
      <c r="Q827" s="6" t="s">
        <v>1772</v>
      </c>
      <c r="R827" s="25">
        <v>1008.555447196871</v>
      </c>
      <c r="S827" s="6" t="s">
        <v>41</v>
      </c>
      <c r="T827" s="6">
        <v>2674</v>
      </c>
      <c r="U827" s="13" t="s">
        <v>42</v>
      </c>
      <c r="V827" s="43" t="s">
        <v>43</v>
      </c>
      <c r="W827" s="10">
        <v>43381</v>
      </c>
      <c r="X827" s="10">
        <v>43460</v>
      </c>
      <c r="Y827" s="6" t="s">
        <v>693</v>
      </c>
      <c r="Z827" s="6" t="s">
        <v>1764</v>
      </c>
      <c r="AA827" s="6" t="s">
        <v>73</v>
      </c>
      <c r="AB827" s="21" t="s">
        <v>2282</v>
      </c>
      <c r="AC827" s="6" t="s">
        <v>2438</v>
      </c>
      <c r="AD827" s="26"/>
    </row>
    <row r="828" spans="1:30" ht="69.95" customHeight="1">
      <c r="A828" s="16"/>
      <c r="B828" s="6">
        <v>2018</v>
      </c>
      <c r="C828" s="6" t="s">
        <v>139</v>
      </c>
      <c r="D828" s="6" t="s">
        <v>1631</v>
      </c>
      <c r="E828" s="10">
        <v>43370</v>
      </c>
      <c r="F828" s="6" t="s">
        <v>1967</v>
      </c>
      <c r="G828" s="6" t="s">
        <v>63</v>
      </c>
      <c r="H828" s="25">
        <v>7379000.1100000003</v>
      </c>
      <c r="I828" s="6" t="s">
        <v>1962</v>
      </c>
      <c r="J828" s="6" t="s">
        <v>1968</v>
      </c>
      <c r="K828" s="6" t="s">
        <v>1682</v>
      </c>
      <c r="L828" s="6" t="s">
        <v>1969</v>
      </c>
      <c r="M828" s="6" t="s">
        <v>1970</v>
      </c>
      <c r="N828" s="6" t="s">
        <v>1971</v>
      </c>
      <c r="O828" s="25">
        <v>7379000.1100000003</v>
      </c>
      <c r="P828" s="25">
        <v>7378996.4400000004</v>
      </c>
      <c r="Q828" s="6" t="s">
        <v>1772</v>
      </c>
      <c r="R828" s="25">
        <v>962.05998826597136</v>
      </c>
      <c r="S828" s="6" t="s">
        <v>41</v>
      </c>
      <c r="T828" s="6">
        <v>2674</v>
      </c>
      <c r="U828" s="13" t="s">
        <v>42</v>
      </c>
      <c r="V828" s="6" t="s">
        <v>43</v>
      </c>
      <c r="W828" s="10">
        <v>43381</v>
      </c>
      <c r="X828" s="10">
        <v>43460</v>
      </c>
      <c r="Y828" s="6" t="s">
        <v>693</v>
      </c>
      <c r="Z828" s="6" t="s">
        <v>1764</v>
      </c>
      <c r="AA828" s="6" t="s">
        <v>73</v>
      </c>
      <c r="AB828" s="21" t="s">
        <v>2283</v>
      </c>
      <c r="AC828" s="6" t="s">
        <v>2438</v>
      </c>
      <c r="AD828" s="26"/>
    </row>
    <row r="829" spans="1:30" ht="69.95" customHeight="1">
      <c r="A829" s="16"/>
      <c r="B829" s="6">
        <v>2018</v>
      </c>
      <c r="C829" s="6" t="s">
        <v>139</v>
      </c>
      <c r="D829" s="6" t="s">
        <v>1632</v>
      </c>
      <c r="E829" s="10">
        <v>43370</v>
      </c>
      <c r="F829" s="6" t="s">
        <v>1972</v>
      </c>
      <c r="G829" s="6" t="s">
        <v>63</v>
      </c>
      <c r="H829" s="25">
        <v>6522184.2999999998</v>
      </c>
      <c r="I829" s="6" t="s">
        <v>1962</v>
      </c>
      <c r="J829" s="6" t="s">
        <v>1973</v>
      </c>
      <c r="K829" s="6" t="s">
        <v>1964</v>
      </c>
      <c r="L829" s="6" t="s">
        <v>1974</v>
      </c>
      <c r="M829" s="6" t="s">
        <v>1975</v>
      </c>
      <c r="N829" s="6" t="s">
        <v>1976</v>
      </c>
      <c r="O829" s="25">
        <v>6522184.2999999998</v>
      </c>
      <c r="P829" s="11">
        <v>6522184.3000000007</v>
      </c>
      <c r="Q829" s="6" t="s">
        <v>1773</v>
      </c>
      <c r="R829" s="25">
        <v>1692.3155941878567</v>
      </c>
      <c r="S829" s="6" t="s">
        <v>41</v>
      </c>
      <c r="T829" s="6">
        <v>2674</v>
      </c>
      <c r="U829" s="13" t="s">
        <v>42</v>
      </c>
      <c r="V829" s="43" t="s">
        <v>43</v>
      </c>
      <c r="W829" s="10">
        <v>43381</v>
      </c>
      <c r="X829" s="10">
        <v>43460</v>
      </c>
      <c r="Y829" s="6" t="s">
        <v>693</v>
      </c>
      <c r="Z829" s="6" t="s">
        <v>1764</v>
      </c>
      <c r="AA829" s="6" t="s">
        <v>73</v>
      </c>
      <c r="AB829" s="21" t="s">
        <v>2508</v>
      </c>
      <c r="AC829" s="6" t="s">
        <v>2438</v>
      </c>
      <c r="AD829" s="26"/>
    </row>
    <row r="830" spans="1:30" ht="69.95" customHeight="1">
      <c r="A830" s="16"/>
      <c r="B830" s="6">
        <v>2018</v>
      </c>
      <c r="C830" s="6" t="s">
        <v>139</v>
      </c>
      <c r="D830" s="6" t="s">
        <v>1633</v>
      </c>
      <c r="E830" s="10">
        <v>43370</v>
      </c>
      <c r="F830" s="6" t="s">
        <v>1977</v>
      </c>
      <c r="G830" s="6" t="s">
        <v>63</v>
      </c>
      <c r="H830" s="25">
        <v>6176886.6799999997</v>
      </c>
      <c r="I830" s="6" t="s">
        <v>1962</v>
      </c>
      <c r="J830" s="6" t="s">
        <v>1900</v>
      </c>
      <c r="K830" s="6" t="s">
        <v>1901</v>
      </c>
      <c r="L830" s="6" t="s">
        <v>1902</v>
      </c>
      <c r="M830" s="6" t="s">
        <v>1978</v>
      </c>
      <c r="N830" s="6" t="s">
        <v>1979</v>
      </c>
      <c r="O830" s="25">
        <v>6176886.6799999997</v>
      </c>
      <c r="P830" s="11">
        <v>6176886.6799999997</v>
      </c>
      <c r="Q830" s="6" t="s">
        <v>1774</v>
      </c>
      <c r="R830" s="25">
        <v>1332.374176013805</v>
      </c>
      <c r="S830" s="6" t="s">
        <v>41</v>
      </c>
      <c r="T830" s="6">
        <v>2674</v>
      </c>
      <c r="U830" s="13" t="s">
        <v>42</v>
      </c>
      <c r="V830" s="6" t="s">
        <v>373</v>
      </c>
      <c r="W830" s="10">
        <v>43381</v>
      </c>
      <c r="X830" s="10">
        <v>43460</v>
      </c>
      <c r="Y830" s="6" t="s">
        <v>693</v>
      </c>
      <c r="Z830" s="6" t="s">
        <v>1764</v>
      </c>
      <c r="AA830" s="6" t="s">
        <v>73</v>
      </c>
      <c r="AB830" s="21" t="s">
        <v>2284</v>
      </c>
      <c r="AC830" s="6" t="s">
        <v>2438</v>
      </c>
      <c r="AD830" s="26"/>
    </row>
    <row r="831" spans="1:30" ht="69.95" customHeight="1">
      <c r="A831" s="16"/>
      <c r="B831" s="6">
        <v>2018</v>
      </c>
      <c r="C831" s="6" t="s">
        <v>139</v>
      </c>
      <c r="D831" s="6" t="s">
        <v>1634</v>
      </c>
      <c r="E831" s="10">
        <v>43370</v>
      </c>
      <c r="F831" s="6" t="s">
        <v>1980</v>
      </c>
      <c r="G831" s="6" t="s">
        <v>3341</v>
      </c>
      <c r="H831" s="25">
        <v>6164996.7599999998</v>
      </c>
      <c r="I831" s="6" t="s">
        <v>1962</v>
      </c>
      <c r="J831" s="6" t="s">
        <v>1922</v>
      </c>
      <c r="K831" s="6" t="s">
        <v>1708</v>
      </c>
      <c r="L831" s="6" t="s">
        <v>1923</v>
      </c>
      <c r="M831" s="6" t="s">
        <v>1924</v>
      </c>
      <c r="N831" s="6" t="s">
        <v>1925</v>
      </c>
      <c r="O831" s="25">
        <v>6164996.7599999998</v>
      </c>
      <c r="P831" s="11">
        <v>6164996.4100000001</v>
      </c>
      <c r="Q831" s="6" t="s">
        <v>1775</v>
      </c>
      <c r="R831" s="25">
        <v>1330.6705719835959</v>
      </c>
      <c r="S831" s="6" t="s">
        <v>41</v>
      </c>
      <c r="T831" s="6">
        <v>2674</v>
      </c>
      <c r="U831" s="13" t="s">
        <v>42</v>
      </c>
      <c r="V831" s="43" t="s">
        <v>43</v>
      </c>
      <c r="W831" s="10">
        <v>43381</v>
      </c>
      <c r="X831" s="10">
        <v>43460</v>
      </c>
      <c r="Y831" s="6" t="s">
        <v>693</v>
      </c>
      <c r="Z831" s="6" t="s">
        <v>1764</v>
      </c>
      <c r="AA831" s="6" t="s">
        <v>73</v>
      </c>
      <c r="AB831" s="21" t="s">
        <v>2879</v>
      </c>
      <c r="AC831" s="6" t="s">
        <v>2438</v>
      </c>
      <c r="AD831" s="26"/>
    </row>
    <row r="832" spans="1:30" ht="69.95" customHeight="1">
      <c r="A832" s="16"/>
      <c r="B832" s="6">
        <v>2018</v>
      </c>
      <c r="C832" s="6" t="s">
        <v>139</v>
      </c>
      <c r="D832" s="6" t="s">
        <v>1635</v>
      </c>
      <c r="E832" s="10">
        <v>43370</v>
      </c>
      <c r="F832" s="6" t="s">
        <v>1981</v>
      </c>
      <c r="G832" s="6" t="s">
        <v>63</v>
      </c>
      <c r="H832" s="25">
        <v>7272507.75</v>
      </c>
      <c r="I832" s="6" t="s">
        <v>1982</v>
      </c>
      <c r="J832" s="6" t="s">
        <v>1700</v>
      </c>
      <c r="K832" s="6" t="s">
        <v>1701</v>
      </c>
      <c r="L832" s="6" t="s">
        <v>1702</v>
      </c>
      <c r="M832" s="6" t="s">
        <v>1852</v>
      </c>
      <c r="N832" s="6" t="s">
        <v>1853</v>
      </c>
      <c r="O832" s="25">
        <v>7272507.75</v>
      </c>
      <c r="P832" s="11">
        <v>7272507.75</v>
      </c>
      <c r="Q832" s="6" t="s">
        <v>1776</v>
      </c>
      <c r="R832" s="25">
        <v>2327.9474231754161</v>
      </c>
      <c r="S832" s="6" t="s">
        <v>41</v>
      </c>
      <c r="T832" s="6">
        <v>17866</v>
      </c>
      <c r="U832" s="13" t="s">
        <v>42</v>
      </c>
      <c r="V832" s="6" t="s">
        <v>43</v>
      </c>
      <c r="W832" s="10">
        <v>43381</v>
      </c>
      <c r="X832" s="10">
        <v>43460</v>
      </c>
      <c r="Y832" s="6" t="s">
        <v>431</v>
      </c>
      <c r="Z832" s="6" t="s">
        <v>181</v>
      </c>
      <c r="AA832" s="6" t="s">
        <v>89</v>
      </c>
      <c r="AB832" s="21" t="s">
        <v>2285</v>
      </c>
      <c r="AC832" s="6" t="s">
        <v>2438</v>
      </c>
      <c r="AD832" s="26"/>
    </row>
    <row r="833" spans="1:30" ht="69.95" customHeight="1">
      <c r="A833" s="16"/>
      <c r="B833" s="6">
        <v>2018</v>
      </c>
      <c r="C833" s="6" t="s">
        <v>139</v>
      </c>
      <c r="D833" s="6" t="s">
        <v>1636</v>
      </c>
      <c r="E833" s="10">
        <v>43370</v>
      </c>
      <c r="F833" s="6" t="s">
        <v>1983</v>
      </c>
      <c r="G833" s="6" t="s">
        <v>63</v>
      </c>
      <c r="H833" s="25">
        <v>7623519.0300000003</v>
      </c>
      <c r="I833" s="6" t="s">
        <v>1982</v>
      </c>
      <c r="J833" s="6" t="s">
        <v>1984</v>
      </c>
      <c r="K833" s="6" t="s">
        <v>1985</v>
      </c>
      <c r="L833" s="6" t="s">
        <v>1986</v>
      </c>
      <c r="M833" s="6" t="s">
        <v>1987</v>
      </c>
      <c r="N833" s="6" t="s">
        <v>1988</v>
      </c>
      <c r="O833" s="25">
        <v>7623519.0300000003</v>
      </c>
      <c r="P833" s="11">
        <v>7623519.0300000003</v>
      </c>
      <c r="Q833" s="6" t="s">
        <v>1776</v>
      </c>
      <c r="R833" s="25">
        <v>2440.3069878361075</v>
      </c>
      <c r="S833" s="6" t="s">
        <v>41</v>
      </c>
      <c r="T833" s="6">
        <v>17866</v>
      </c>
      <c r="U833" s="13" t="s">
        <v>42</v>
      </c>
      <c r="V833" s="6" t="s">
        <v>373</v>
      </c>
      <c r="W833" s="10">
        <v>43381</v>
      </c>
      <c r="X833" s="10">
        <v>43460</v>
      </c>
      <c r="Y833" s="6" t="s">
        <v>431</v>
      </c>
      <c r="Z833" s="6" t="s">
        <v>181</v>
      </c>
      <c r="AA833" s="6" t="s">
        <v>89</v>
      </c>
      <c r="AB833" s="21" t="s">
        <v>2286</v>
      </c>
      <c r="AC833" s="6" t="s">
        <v>2438</v>
      </c>
      <c r="AD833" s="26"/>
    </row>
    <row r="834" spans="1:30" ht="69.95" customHeight="1">
      <c r="A834" s="16"/>
      <c r="B834" s="6">
        <v>2018</v>
      </c>
      <c r="C834" s="6" t="s">
        <v>139</v>
      </c>
      <c r="D834" s="6" t="s">
        <v>1637</v>
      </c>
      <c r="E834" s="10">
        <v>43370</v>
      </c>
      <c r="F834" s="6" t="s">
        <v>1989</v>
      </c>
      <c r="G834" s="6" t="s">
        <v>63</v>
      </c>
      <c r="H834" s="25">
        <v>7220064.3700000001</v>
      </c>
      <c r="I834" s="6" t="s">
        <v>1982</v>
      </c>
      <c r="J834" s="6" t="s">
        <v>1990</v>
      </c>
      <c r="K834" s="6" t="s">
        <v>1991</v>
      </c>
      <c r="L834" s="6" t="s">
        <v>1992</v>
      </c>
      <c r="M834" s="6" t="s">
        <v>1993</v>
      </c>
      <c r="N834" s="6" t="s">
        <v>1994</v>
      </c>
      <c r="O834" s="25">
        <v>7220064.3700000001</v>
      </c>
      <c r="P834" s="11">
        <v>7220064.3700000001</v>
      </c>
      <c r="Q834" s="6" t="s">
        <v>1777</v>
      </c>
      <c r="R834" s="25">
        <v>2257.6811663539711</v>
      </c>
      <c r="S834" s="6" t="s">
        <v>41</v>
      </c>
      <c r="T834" s="6">
        <v>17866</v>
      </c>
      <c r="U834" s="13" t="s">
        <v>42</v>
      </c>
      <c r="V834" s="6" t="s">
        <v>43</v>
      </c>
      <c r="W834" s="10">
        <v>43381</v>
      </c>
      <c r="X834" s="10">
        <v>43460</v>
      </c>
      <c r="Y834" s="6" t="s">
        <v>431</v>
      </c>
      <c r="Z834" s="6" t="s">
        <v>181</v>
      </c>
      <c r="AA834" s="6" t="s">
        <v>89</v>
      </c>
      <c r="AB834" s="21" t="s">
        <v>2287</v>
      </c>
      <c r="AC834" s="6" t="s">
        <v>2438</v>
      </c>
      <c r="AD834" s="26"/>
    </row>
    <row r="835" spans="1:30" ht="69.95" customHeight="1">
      <c r="A835" s="16"/>
      <c r="B835" s="6">
        <v>2018</v>
      </c>
      <c r="C835" s="6" t="s">
        <v>139</v>
      </c>
      <c r="D835" s="6" t="s">
        <v>1638</v>
      </c>
      <c r="E835" s="10">
        <v>43370</v>
      </c>
      <c r="F835" s="6" t="s">
        <v>1995</v>
      </c>
      <c r="G835" s="6" t="s">
        <v>63</v>
      </c>
      <c r="H835" s="25">
        <v>7414333.3099999996</v>
      </c>
      <c r="I835" s="6" t="s">
        <v>1982</v>
      </c>
      <c r="J835" s="6" t="s">
        <v>1996</v>
      </c>
      <c r="K835" s="6" t="s">
        <v>1997</v>
      </c>
      <c r="L835" s="6" t="s">
        <v>1998</v>
      </c>
      <c r="M835" s="6" t="s">
        <v>1999</v>
      </c>
      <c r="N835" s="6" t="s">
        <v>2000</v>
      </c>
      <c r="O835" s="25">
        <v>7414333.3099999996</v>
      </c>
      <c r="P835" s="11">
        <v>6686161.46</v>
      </c>
      <c r="Q835" s="6" t="s">
        <v>1777</v>
      </c>
      <c r="R835" s="25">
        <v>2318.4281769856157</v>
      </c>
      <c r="S835" s="6" t="s">
        <v>41</v>
      </c>
      <c r="T835" s="6">
        <v>17866</v>
      </c>
      <c r="U835" s="13" t="s">
        <v>42</v>
      </c>
      <c r="V835" s="43" t="s">
        <v>43</v>
      </c>
      <c r="W835" s="10">
        <v>43381</v>
      </c>
      <c r="X835" s="10">
        <v>43460</v>
      </c>
      <c r="Y835" s="6" t="s">
        <v>431</v>
      </c>
      <c r="Z835" s="6" t="s">
        <v>181</v>
      </c>
      <c r="AA835" s="6" t="s">
        <v>89</v>
      </c>
      <c r="AB835" s="21" t="s">
        <v>2509</v>
      </c>
      <c r="AC835" s="6" t="s">
        <v>2438</v>
      </c>
      <c r="AD835" s="26"/>
    </row>
    <row r="836" spans="1:30" ht="69.95" customHeight="1">
      <c r="A836" s="16"/>
      <c r="B836" s="6">
        <v>2018</v>
      </c>
      <c r="C836" s="6" t="s">
        <v>139</v>
      </c>
      <c r="D836" s="6" t="s">
        <v>1639</v>
      </c>
      <c r="E836" s="10">
        <v>43370</v>
      </c>
      <c r="F836" s="6" t="s">
        <v>2001</v>
      </c>
      <c r="G836" s="6" t="s">
        <v>63</v>
      </c>
      <c r="H836" s="25">
        <v>7454983.7300000004</v>
      </c>
      <c r="I836" s="6" t="s">
        <v>1982</v>
      </c>
      <c r="J836" s="6" t="s">
        <v>2002</v>
      </c>
      <c r="K836" s="6" t="s">
        <v>2003</v>
      </c>
      <c r="L836" s="6" t="s">
        <v>1868</v>
      </c>
      <c r="M836" s="6" t="s">
        <v>2004</v>
      </c>
      <c r="N836" s="6" t="s">
        <v>2005</v>
      </c>
      <c r="O836" s="25">
        <v>7454983.7300000004</v>
      </c>
      <c r="P836" s="11">
        <v>6392325.8800000008</v>
      </c>
      <c r="Q836" s="6" t="s">
        <v>1777</v>
      </c>
      <c r="R836" s="25">
        <v>2331.1393777360854</v>
      </c>
      <c r="S836" s="6" t="s">
        <v>41</v>
      </c>
      <c r="T836" s="6">
        <v>17866</v>
      </c>
      <c r="U836" s="13" t="s">
        <v>42</v>
      </c>
      <c r="V836" s="43" t="s">
        <v>43</v>
      </c>
      <c r="W836" s="10">
        <v>43381</v>
      </c>
      <c r="X836" s="10">
        <v>43460</v>
      </c>
      <c r="Y836" s="6" t="s">
        <v>431</v>
      </c>
      <c r="Z836" s="6" t="s">
        <v>181</v>
      </c>
      <c r="AA836" s="6" t="s">
        <v>89</v>
      </c>
      <c r="AB836" s="21" t="s">
        <v>2288</v>
      </c>
      <c r="AC836" s="6" t="s">
        <v>2438</v>
      </c>
      <c r="AD836" s="26"/>
    </row>
    <row r="837" spans="1:30" ht="69.95" customHeight="1">
      <c r="A837" s="16"/>
      <c r="B837" s="6">
        <v>2018</v>
      </c>
      <c r="C837" s="6" t="s">
        <v>139</v>
      </c>
      <c r="D837" s="6" t="s">
        <v>1640</v>
      </c>
      <c r="E837" s="10">
        <v>43367</v>
      </c>
      <c r="F837" s="6" t="s">
        <v>2007</v>
      </c>
      <c r="G837" s="6" t="s">
        <v>63</v>
      </c>
      <c r="H837" s="25">
        <v>6673412.8700000001</v>
      </c>
      <c r="I837" s="6" t="s">
        <v>1277</v>
      </c>
      <c r="J837" s="6" t="s">
        <v>2008</v>
      </c>
      <c r="K837" s="6" t="s">
        <v>1707</v>
      </c>
      <c r="L837" s="6" t="s">
        <v>2009</v>
      </c>
      <c r="M837" s="6" t="s">
        <v>2010</v>
      </c>
      <c r="N837" s="6" t="s">
        <v>2011</v>
      </c>
      <c r="O837" s="25">
        <v>6673412.8700000001</v>
      </c>
      <c r="P837" s="11">
        <v>6673412.8700000001</v>
      </c>
      <c r="Q837" s="6" t="s">
        <v>1778</v>
      </c>
      <c r="R837" s="25">
        <v>21527.138290322582</v>
      </c>
      <c r="S837" s="6" t="s">
        <v>41</v>
      </c>
      <c r="T837" s="6">
        <v>1852</v>
      </c>
      <c r="U837" s="13" t="s">
        <v>42</v>
      </c>
      <c r="V837" s="6" t="s">
        <v>373</v>
      </c>
      <c r="W837" s="10">
        <v>43381</v>
      </c>
      <c r="X837" s="10">
        <v>43460</v>
      </c>
      <c r="Y837" s="6" t="s">
        <v>599</v>
      </c>
      <c r="Z837" s="6" t="s">
        <v>307</v>
      </c>
      <c r="AA837" s="6" t="s">
        <v>61</v>
      </c>
      <c r="AB837" s="21" t="s">
        <v>2877</v>
      </c>
      <c r="AC837" s="6" t="s">
        <v>2438</v>
      </c>
      <c r="AD837" s="26"/>
    </row>
    <row r="838" spans="1:30" ht="69.95" customHeight="1">
      <c r="A838" s="16"/>
      <c r="B838" s="6">
        <v>2018</v>
      </c>
      <c r="C838" s="6" t="s">
        <v>139</v>
      </c>
      <c r="D838" s="6" t="s">
        <v>1641</v>
      </c>
      <c r="E838" s="10">
        <v>43328</v>
      </c>
      <c r="F838" s="6" t="s">
        <v>2012</v>
      </c>
      <c r="G838" s="6" t="s">
        <v>63</v>
      </c>
      <c r="H838" s="25">
        <v>5615198.2800000003</v>
      </c>
      <c r="I838" s="6" t="s">
        <v>1304</v>
      </c>
      <c r="J838" s="6" t="s">
        <v>2013</v>
      </c>
      <c r="K838" s="6" t="s">
        <v>2014</v>
      </c>
      <c r="L838" s="6" t="s">
        <v>2015</v>
      </c>
      <c r="M838" s="6" t="s">
        <v>2016</v>
      </c>
      <c r="N838" s="6" t="s">
        <v>2017</v>
      </c>
      <c r="O838" s="25">
        <v>5615198.2800000003</v>
      </c>
      <c r="P838" s="11">
        <v>5346686.63</v>
      </c>
      <c r="Q838" s="6" t="s">
        <v>1779</v>
      </c>
      <c r="R838" s="25">
        <v>5347.8078857142864</v>
      </c>
      <c r="S838" s="6" t="s">
        <v>41</v>
      </c>
      <c r="T838" s="6">
        <v>1332272</v>
      </c>
      <c r="U838" s="13" t="s">
        <v>42</v>
      </c>
      <c r="V838" s="6" t="s">
        <v>43</v>
      </c>
      <c r="W838" s="10">
        <v>43328</v>
      </c>
      <c r="X838" s="10">
        <v>43357</v>
      </c>
      <c r="Y838" s="6" t="s">
        <v>380</v>
      </c>
      <c r="Z838" s="6" t="s">
        <v>45</v>
      </c>
      <c r="AA838" s="6" t="s">
        <v>46</v>
      </c>
      <c r="AB838" s="21" t="s">
        <v>2289</v>
      </c>
      <c r="AC838" s="6" t="s">
        <v>2438</v>
      </c>
      <c r="AD838" s="26"/>
    </row>
    <row r="839" spans="1:30" ht="69.95" customHeight="1">
      <c r="A839" s="16"/>
      <c r="B839" s="6">
        <v>2018</v>
      </c>
      <c r="C839" s="6" t="s">
        <v>62</v>
      </c>
      <c r="D839" s="6" t="s">
        <v>1642</v>
      </c>
      <c r="E839" s="10">
        <v>43290</v>
      </c>
      <c r="F839" s="6" t="s">
        <v>2018</v>
      </c>
      <c r="G839" s="6" t="s">
        <v>63</v>
      </c>
      <c r="H839" s="25">
        <v>1789144.68</v>
      </c>
      <c r="I839" s="6" t="s">
        <v>95</v>
      </c>
      <c r="J839" s="6" t="s">
        <v>2019</v>
      </c>
      <c r="K839" s="6" t="s">
        <v>1591</v>
      </c>
      <c r="L839" s="6" t="s">
        <v>2020</v>
      </c>
      <c r="M839" s="6" t="s">
        <v>2021</v>
      </c>
      <c r="N839" s="6" t="s">
        <v>2022</v>
      </c>
      <c r="O839" s="25">
        <v>1789144.68</v>
      </c>
      <c r="P839" s="11">
        <v>1354286.94</v>
      </c>
      <c r="Q839" s="6" t="s">
        <v>1207</v>
      </c>
      <c r="R839" s="25">
        <v>1110.5801862197393</v>
      </c>
      <c r="S839" s="6" t="s">
        <v>41</v>
      </c>
      <c r="T839" s="6">
        <v>3688</v>
      </c>
      <c r="U839" s="13" t="s">
        <v>42</v>
      </c>
      <c r="V839" s="43" t="s">
        <v>43</v>
      </c>
      <c r="W839" s="10">
        <v>43290</v>
      </c>
      <c r="X839" s="10">
        <v>43332</v>
      </c>
      <c r="Y839" s="6" t="s">
        <v>331</v>
      </c>
      <c r="Z839" s="6" t="s">
        <v>332</v>
      </c>
      <c r="AA839" s="6" t="s">
        <v>116</v>
      </c>
      <c r="AB839" s="21" t="s">
        <v>2415</v>
      </c>
      <c r="AC839" s="6" t="s">
        <v>2438</v>
      </c>
      <c r="AD839" s="26"/>
    </row>
    <row r="840" spans="1:30" ht="69.95" customHeight="1">
      <c r="A840" s="16"/>
      <c r="B840" s="6">
        <v>2018</v>
      </c>
      <c r="C840" s="6" t="s">
        <v>62</v>
      </c>
      <c r="D840" s="6" t="s">
        <v>1643</v>
      </c>
      <c r="E840" s="10">
        <v>43306</v>
      </c>
      <c r="F840" s="6" t="s">
        <v>2023</v>
      </c>
      <c r="G840" s="6" t="s">
        <v>63</v>
      </c>
      <c r="H840" s="25">
        <v>1718982.13</v>
      </c>
      <c r="I840" s="6" t="s">
        <v>95</v>
      </c>
      <c r="J840" s="6" t="s">
        <v>2024</v>
      </c>
      <c r="K840" s="6" t="s">
        <v>2025</v>
      </c>
      <c r="L840" s="6" t="s">
        <v>2026</v>
      </c>
      <c r="M840" s="6" t="s">
        <v>2027</v>
      </c>
      <c r="N840" s="6" t="s">
        <v>2028</v>
      </c>
      <c r="O840" s="25">
        <v>1718982.13</v>
      </c>
      <c r="P840" s="11">
        <v>1652300.59</v>
      </c>
      <c r="Q840" s="6" t="s">
        <v>316</v>
      </c>
      <c r="R840" s="25">
        <v>2291.976173333333</v>
      </c>
      <c r="S840" s="6" t="s">
        <v>41</v>
      </c>
      <c r="T840" s="6">
        <v>1896</v>
      </c>
      <c r="U840" s="13" t="s">
        <v>42</v>
      </c>
      <c r="V840" s="43" t="s">
        <v>43</v>
      </c>
      <c r="W840" s="10">
        <v>43308</v>
      </c>
      <c r="X840" s="10">
        <v>43367</v>
      </c>
      <c r="Y840" s="6" t="s">
        <v>331</v>
      </c>
      <c r="Z840" s="6" t="s">
        <v>332</v>
      </c>
      <c r="AA840" s="6" t="s">
        <v>116</v>
      </c>
      <c r="AB840" s="21" t="s">
        <v>2876</v>
      </c>
      <c r="AC840" s="6" t="s">
        <v>2438</v>
      </c>
      <c r="AD840" s="26"/>
    </row>
    <row r="841" spans="1:30" ht="69.95" customHeight="1">
      <c r="A841" s="16"/>
      <c r="B841" s="6">
        <v>2018</v>
      </c>
      <c r="C841" s="6" t="s">
        <v>62</v>
      </c>
      <c r="D841" s="6" t="s">
        <v>1644</v>
      </c>
      <c r="E841" s="10">
        <v>43307</v>
      </c>
      <c r="F841" s="6" t="s">
        <v>2029</v>
      </c>
      <c r="G841" s="6" t="s">
        <v>63</v>
      </c>
      <c r="H841" s="25">
        <v>1798216.5</v>
      </c>
      <c r="I841" s="6" t="s">
        <v>700</v>
      </c>
      <c r="J841" s="6" t="s">
        <v>2030</v>
      </c>
      <c r="K841" s="6" t="s">
        <v>2031</v>
      </c>
      <c r="L841" s="6" t="s">
        <v>2032</v>
      </c>
      <c r="M841" s="6" t="s">
        <v>2033</v>
      </c>
      <c r="N841" s="6" t="s">
        <v>2034</v>
      </c>
      <c r="O841" s="25">
        <v>1798216.5</v>
      </c>
      <c r="P841" s="11">
        <v>1798216.54</v>
      </c>
      <c r="Q841" s="6" t="s">
        <v>1780</v>
      </c>
      <c r="R841" s="25">
        <v>1198.8109999999999</v>
      </c>
      <c r="S841" s="6" t="s">
        <v>41</v>
      </c>
      <c r="T841" s="6">
        <v>26859</v>
      </c>
      <c r="U841" s="13" t="s">
        <v>42</v>
      </c>
      <c r="V841" s="7" t="s">
        <v>43</v>
      </c>
      <c r="W841" s="10">
        <v>43307</v>
      </c>
      <c r="X841" s="10">
        <v>43363</v>
      </c>
      <c r="Y841" s="6" t="s">
        <v>811</v>
      </c>
      <c r="Z841" s="6" t="s">
        <v>812</v>
      </c>
      <c r="AA841" s="6" t="s">
        <v>46</v>
      </c>
      <c r="AB841" s="21" t="s">
        <v>2416</v>
      </c>
      <c r="AC841" s="6" t="s">
        <v>2438</v>
      </c>
      <c r="AD841" s="26"/>
    </row>
    <row r="842" spans="1:30" ht="69.95" customHeight="1">
      <c r="A842" s="16"/>
      <c r="B842" s="6">
        <v>2018</v>
      </c>
      <c r="C842" s="6" t="s">
        <v>62</v>
      </c>
      <c r="D842" s="6" t="s">
        <v>1645</v>
      </c>
      <c r="E842" s="10">
        <v>43307</v>
      </c>
      <c r="F842" s="6" t="s">
        <v>2035</v>
      </c>
      <c r="G842" s="6" t="s">
        <v>63</v>
      </c>
      <c r="H842" s="25">
        <v>535250.24</v>
      </c>
      <c r="I842" s="6" t="s">
        <v>1176</v>
      </c>
      <c r="J842" s="6" t="s">
        <v>2036</v>
      </c>
      <c r="K842" s="6" t="s">
        <v>2037</v>
      </c>
      <c r="L842" s="6" t="s">
        <v>1721</v>
      </c>
      <c r="M842" s="6" t="s">
        <v>2038</v>
      </c>
      <c r="N842" s="6" t="s">
        <v>2039</v>
      </c>
      <c r="O842" s="25">
        <v>535250.24</v>
      </c>
      <c r="P842" s="11">
        <v>535250.14</v>
      </c>
      <c r="Q842" s="6" t="s">
        <v>1781</v>
      </c>
      <c r="R842" s="25">
        <v>13724.365128205129</v>
      </c>
      <c r="S842" s="6" t="s">
        <v>41</v>
      </c>
      <c r="T842" s="6">
        <v>635</v>
      </c>
      <c r="U842" s="13" t="s">
        <v>42</v>
      </c>
      <c r="V842" s="7" t="s">
        <v>43</v>
      </c>
      <c r="W842" s="10">
        <v>43307</v>
      </c>
      <c r="X842" s="10">
        <v>43358</v>
      </c>
      <c r="Y842" s="6" t="s">
        <v>780</v>
      </c>
      <c r="Z842" s="6" t="s">
        <v>818</v>
      </c>
      <c r="AA842" s="6" t="s">
        <v>186</v>
      </c>
      <c r="AB842" s="21" t="s">
        <v>2417</v>
      </c>
      <c r="AC842" s="6" t="s">
        <v>2438</v>
      </c>
      <c r="AD842" s="26"/>
    </row>
    <row r="843" spans="1:30" ht="69.95" customHeight="1">
      <c r="A843" s="16"/>
      <c r="B843" s="6">
        <v>2018</v>
      </c>
      <c r="C843" s="6" t="s">
        <v>62</v>
      </c>
      <c r="D843" s="6" t="s">
        <v>1646</v>
      </c>
      <c r="E843" s="10">
        <v>43297</v>
      </c>
      <c r="F843" s="6" t="s">
        <v>2040</v>
      </c>
      <c r="G843" s="6" t="s">
        <v>63</v>
      </c>
      <c r="H843" s="25">
        <v>703428.12</v>
      </c>
      <c r="I843" s="6" t="s">
        <v>1111</v>
      </c>
      <c r="J843" s="6" t="s">
        <v>1840</v>
      </c>
      <c r="K843" s="6" t="s">
        <v>1841</v>
      </c>
      <c r="L843" s="6" t="s">
        <v>1842</v>
      </c>
      <c r="M843" s="6" t="s">
        <v>1843</v>
      </c>
      <c r="N843" s="6" t="s">
        <v>1844</v>
      </c>
      <c r="O843" s="25">
        <v>703428.12</v>
      </c>
      <c r="P843" s="11">
        <v>690521.68</v>
      </c>
      <c r="Q843" s="6" t="s">
        <v>1782</v>
      </c>
      <c r="R843" s="25">
        <v>175857.03</v>
      </c>
      <c r="S843" s="6" t="s">
        <v>41</v>
      </c>
      <c r="T843" s="6">
        <v>186</v>
      </c>
      <c r="U843" s="13" t="s">
        <v>42</v>
      </c>
      <c r="V843" s="7" t="s">
        <v>43</v>
      </c>
      <c r="W843" s="10">
        <v>43297</v>
      </c>
      <c r="X843" s="10">
        <v>43343</v>
      </c>
      <c r="Y843" s="6" t="s">
        <v>815</v>
      </c>
      <c r="Z843" s="6" t="s">
        <v>1223</v>
      </c>
      <c r="AA843" s="6" t="s">
        <v>463</v>
      </c>
      <c r="AB843" s="21" t="s">
        <v>2418</v>
      </c>
      <c r="AC843" s="6" t="s">
        <v>2438</v>
      </c>
      <c r="AD843" s="26"/>
    </row>
    <row r="844" spans="1:30" ht="69.95" customHeight="1">
      <c r="A844" s="16"/>
      <c r="B844" s="6">
        <v>2018</v>
      </c>
      <c r="C844" s="6" t="s">
        <v>62</v>
      </c>
      <c r="D844" s="6" t="s">
        <v>1647</v>
      </c>
      <c r="E844" s="10">
        <v>43280</v>
      </c>
      <c r="F844" s="6" t="s">
        <v>2041</v>
      </c>
      <c r="G844" s="6" t="s">
        <v>63</v>
      </c>
      <c r="H844" s="25">
        <v>773869.53</v>
      </c>
      <c r="I844" s="6" t="s">
        <v>940</v>
      </c>
      <c r="J844" s="6" t="s">
        <v>2013</v>
      </c>
      <c r="K844" s="6" t="s">
        <v>2014</v>
      </c>
      <c r="L844" s="6" t="s">
        <v>2015</v>
      </c>
      <c r="M844" s="6" t="s">
        <v>2016</v>
      </c>
      <c r="N844" s="6" t="s">
        <v>2017</v>
      </c>
      <c r="O844" s="25">
        <v>773869.53</v>
      </c>
      <c r="P844" s="11">
        <v>773869.52</v>
      </c>
      <c r="Q844" s="6" t="s">
        <v>676</v>
      </c>
      <c r="R844" s="25">
        <v>1172.529590909091</v>
      </c>
      <c r="S844" s="6" t="s">
        <v>41</v>
      </c>
      <c r="T844" s="6">
        <v>106</v>
      </c>
      <c r="U844" s="13" t="s">
        <v>42</v>
      </c>
      <c r="V844" s="7" t="s">
        <v>43</v>
      </c>
      <c r="W844" s="10">
        <v>43282</v>
      </c>
      <c r="X844" s="10">
        <v>43322</v>
      </c>
      <c r="Y844" s="6" t="s">
        <v>331</v>
      </c>
      <c r="Z844" s="6" t="s">
        <v>332</v>
      </c>
      <c r="AA844" s="6" t="s">
        <v>116</v>
      </c>
      <c r="AB844" s="21" t="s">
        <v>2419</v>
      </c>
      <c r="AC844" s="6" t="s">
        <v>2438</v>
      </c>
      <c r="AD844" s="26"/>
    </row>
    <row r="845" spans="1:30" ht="69.95" customHeight="1">
      <c r="A845" s="16"/>
      <c r="B845" s="6">
        <v>2018</v>
      </c>
      <c r="C845" s="6" t="s">
        <v>62</v>
      </c>
      <c r="D845" s="6" t="s">
        <v>1648</v>
      </c>
      <c r="E845" s="10">
        <v>43294</v>
      </c>
      <c r="F845" s="6" t="s">
        <v>2042</v>
      </c>
      <c r="G845" s="6" t="s">
        <v>3341</v>
      </c>
      <c r="H845" s="25">
        <v>325959.03000000003</v>
      </c>
      <c r="I845" s="6" t="s">
        <v>244</v>
      </c>
      <c r="J845" s="6" t="s">
        <v>1963</v>
      </c>
      <c r="K845" s="6" t="s">
        <v>1964</v>
      </c>
      <c r="L845" s="6" t="s">
        <v>1939</v>
      </c>
      <c r="M845" s="6" t="s">
        <v>1965</v>
      </c>
      <c r="N845" s="6" t="s">
        <v>1966</v>
      </c>
      <c r="O845" s="25">
        <v>325959.03000000003</v>
      </c>
      <c r="P845" s="11">
        <v>320096.43</v>
      </c>
      <c r="Q845" s="6" t="s">
        <v>1783</v>
      </c>
      <c r="R845" s="25">
        <v>382.58102112676062</v>
      </c>
      <c r="S845" s="6" t="s">
        <v>41</v>
      </c>
      <c r="T845" s="6">
        <v>1268</v>
      </c>
      <c r="U845" s="13" t="s">
        <v>42</v>
      </c>
      <c r="V845" s="7" t="s">
        <v>43</v>
      </c>
      <c r="W845" s="10">
        <v>43297</v>
      </c>
      <c r="X845" s="10">
        <v>43343</v>
      </c>
      <c r="Y845" s="6" t="s">
        <v>331</v>
      </c>
      <c r="Z845" s="6" t="s">
        <v>332</v>
      </c>
      <c r="AA845" s="6" t="s">
        <v>116</v>
      </c>
      <c r="AB845" s="21" t="s">
        <v>2875</v>
      </c>
      <c r="AC845" s="6" t="s">
        <v>2438</v>
      </c>
      <c r="AD845" s="26"/>
    </row>
    <row r="846" spans="1:30" ht="69.95" customHeight="1">
      <c r="A846" s="16"/>
      <c r="B846" s="6">
        <v>2018</v>
      </c>
      <c r="C846" s="6" t="s">
        <v>62</v>
      </c>
      <c r="D846" s="6" t="s">
        <v>1649</v>
      </c>
      <c r="E846" s="10">
        <v>43306</v>
      </c>
      <c r="F846" s="6" t="s">
        <v>2043</v>
      </c>
      <c r="G846" s="6" t="s">
        <v>63</v>
      </c>
      <c r="H846" s="25">
        <v>1686315.2</v>
      </c>
      <c r="I846" s="6" t="s">
        <v>700</v>
      </c>
      <c r="J846" s="6" t="s">
        <v>2044</v>
      </c>
      <c r="K846" s="6" t="s">
        <v>2045</v>
      </c>
      <c r="L846" s="6" t="s">
        <v>2046</v>
      </c>
      <c r="M846" s="6" t="s">
        <v>2047</v>
      </c>
      <c r="N846" s="6" t="s">
        <v>2048</v>
      </c>
      <c r="O846" s="25">
        <v>1686315.2</v>
      </c>
      <c r="P846" s="11">
        <v>1686315.22</v>
      </c>
      <c r="Q846" s="6" t="s">
        <v>1780</v>
      </c>
      <c r="R846" s="25">
        <v>1124.2101333333333</v>
      </c>
      <c r="S846" s="6" t="s">
        <v>41</v>
      </c>
      <c r="T846" s="6">
        <v>26859</v>
      </c>
      <c r="U846" s="13" t="s">
        <v>42</v>
      </c>
      <c r="V846" s="7" t="s">
        <v>43</v>
      </c>
      <c r="W846" s="10">
        <v>43307</v>
      </c>
      <c r="X846" s="10">
        <v>43363</v>
      </c>
      <c r="Y846" s="6" t="s">
        <v>380</v>
      </c>
      <c r="Z846" s="6" t="s">
        <v>625</v>
      </c>
      <c r="AA846" s="6" t="s">
        <v>1186</v>
      </c>
      <c r="AB846" s="21" t="s">
        <v>2420</v>
      </c>
      <c r="AC846" s="6" t="s">
        <v>2438</v>
      </c>
      <c r="AD846" s="26"/>
    </row>
    <row r="847" spans="1:30" ht="69.95" customHeight="1">
      <c r="A847" s="16"/>
      <c r="B847" s="6">
        <v>2018</v>
      </c>
      <c r="C847" s="6" t="s">
        <v>139</v>
      </c>
      <c r="D847" s="6" t="s">
        <v>1650</v>
      </c>
      <c r="E847" s="10">
        <v>43370</v>
      </c>
      <c r="F847" s="32" t="s">
        <v>2049</v>
      </c>
      <c r="G847" s="6" t="s">
        <v>63</v>
      </c>
      <c r="H847" s="25">
        <v>4439643.33</v>
      </c>
      <c r="I847" s="6" t="s">
        <v>1735</v>
      </c>
      <c r="J847" s="6" t="s">
        <v>2050</v>
      </c>
      <c r="K847" s="6" t="s">
        <v>2051</v>
      </c>
      <c r="L847" s="6" t="s">
        <v>2052</v>
      </c>
      <c r="M847" s="6" t="s">
        <v>2053</v>
      </c>
      <c r="N847" s="6" t="s">
        <v>2054</v>
      </c>
      <c r="O847" s="25">
        <v>4439643.33</v>
      </c>
      <c r="P847" s="11">
        <v>4439643.33</v>
      </c>
      <c r="Q847" s="6" t="s">
        <v>1784</v>
      </c>
      <c r="R847" s="25">
        <v>2319.562868338558</v>
      </c>
      <c r="S847" s="6" t="s">
        <v>41</v>
      </c>
      <c r="T847" s="6">
        <v>2087</v>
      </c>
      <c r="U847" s="13" t="s">
        <v>42</v>
      </c>
      <c r="V847" s="43" t="s">
        <v>43</v>
      </c>
      <c r="W847" s="10">
        <v>43381</v>
      </c>
      <c r="X847" s="10">
        <v>43460</v>
      </c>
      <c r="Y847" s="6" t="s">
        <v>431</v>
      </c>
      <c r="Z847" s="6" t="s">
        <v>181</v>
      </c>
      <c r="AA847" s="6" t="s">
        <v>89</v>
      </c>
      <c r="AB847" s="21" t="s">
        <v>2873</v>
      </c>
      <c r="AC847" s="6" t="s">
        <v>2438</v>
      </c>
      <c r="AD847" s="26"/>
    </row>
    <row r="848" spans="1:30" ht="69.95" customHeight="1">
      <c r="A848" s="16"/>
      <c r="B848" s="6">
        <v>2018</v>
      </c>
      <c r="C848" s="6" t="s">
        <v>62</v>
      </c>
      <c r="D848" s="6" t="s">
        <v>1651</v>
      </c>
      <c r="E848" s="10">
        <v>43349</v>
      </c>
      <c r="F848" s="6" t="s">
        <v>2055</v>
      </c>
      <c r="G848" s="6" t="s">
        <v>63</v>
      </c>
      <c r="H848" s="25">
        <v>1241392.93</v>
      </c>
      <c r="I848" s="6" t="s">
        <v>85</v>
      </c>
      <c r="J848" s="6" t="s">
        <v>2056</v>
      </c>
      <c r="K848" s="6" t="s">
        <v>2057</v>
      </c>
      <c r="L848" s="6" t="s">
        <v>2058</v>
      </c>
      <c r="M848" s="6" t="s">
        <v>2059</v>
      </c>
      <c r="N848" s="6" t="s">
        <v>2060</v>
      </c>
      <c r="O848" s="25">
        <v>1241392.93</v>
      </c>
      <c r="P848" s="11">
        <v>1032051.83</v>
      </c>
      <c r="Q848" s="6" t="s">
        <v>1785</v>
      </c>
      <c r="R848" s="25">
        <v>1679.8280514208388</v>
      </c>
      <c r="S848" s="6" t="s">
        <v>41</v>
      </c>
      <c r="T848" s="6">
        <v>659</v>
      </c>
      <c r="U848" s="13" t="s">
        <v>42</v>
      </c>
      <c r="V848" s="6" t="s">
        <v>43</v>
      </c>
      <c r="W848" s="10">
        <v>43353</v>
      </c>
      <c r="X848" s="10">
        <v>43417</v>
      </c>
      <c r="Y848" s="6" t="s">
        <v>808</v>
      </c>
      <c r="Z848" s="6" t="s">
        <v>809</v>
      </c>
      <c r="AA848" s="6" t="s">
        <v>94</v>
      </c>
      <c r="AB848" s="21" t="s">
        <v>2874</v>
      </c>
      <c r="AC848" s="6" t="s">
        <v>2438</v>
      </c>
      <c r="AD848" s="26"/>
    </row>
    <row r="849" spans="1:30" ht="69.95" customHeight="1">
      <c r="A849" s="16"/>
      <c r="B849" s="6">
        <v>2018</v>
      </c>
      <c r="C849" s="6" t="s">
        <v>62</v>
      </c>
      <c r="D849" s="6" t="s">
        <v>1652</v>
      </c>
      <c r="E849" s="10">
        <v>43312</v>
      </c>
      <c r="F849" s="6" t="s">
        <v>2061</v>
      </c>
      <c r="G849" s="6" t="s">
        <v>3341</v>
      </c>
      <c r="H849" s="25">
        <v>415877.36</v>
      </c>
      <c r="I849" s="6" t="s">
        <v>1786</v>
      </c>
      <c r="J849" s="6" t="s">
        <v>2062</v>
      </c>
      <c r="K849" s="6" t="s">
        <v>1831</v>
      </c>
      <c r="L849" s="6" t="s">
        <v>2063</v>
      </c>
      <c r="M849" s="6" t="s">
        <v>2064</v>
      </c>
      <c r="N849" s="6" t="s">
        <v>2065</v>
      </c>
      <c r="O849" s="25">
        <v>415877.36</v>
      </c>
      <c r="P849" s="11">
        <v>340289.01</v>
      </c>
      <c r="Q849" s="6" t="s">
        <v>1051</v>
      </c>
      <c r="R849" s="25">
        <v>51984.67</v>
      </c>
      <c r="S849" s="6" t="s">
        <v>41</v>
      </c>
      <c r="T849" s="6">
        <v>2556</v>
      </c>
      <c r="U849" s="13" t="s">
        <v>42</v>
      </c>
      <c r="V849" s="43" t="s">
        <v>43</v>
      </c>
      <c r="W849" s="10">
        <v>43313</v>
      </c>
      <c r="X849" s="10">
        <v>43353</v>
      </c>
      <c r="Y849" s="6" t="s">
        <v>431</v>
      </c>
      <c r="Z849" s="6" t="s">
        <v>181</v>
      </c>
      <c r="AA849" s="6" t="s">
        <v>89</v>
      </c>
      <c r="AB849" s="21" t="s">
        <v>2872</v>
      </c>
      <c r="AC849" s="6" t="s">
        <v>2438</v>
      </c>
      <c r="AD849" s="26"/>
    </row>
    <row r="850" spans="1:30" ht="69.95" customHeight="1">
      <c r="A850" s="16"/>
      <c r="B850" s="6">
        <v>2018</v>
      </c>
      <c r="C850" s="6" t="s">
        <v>62</v>
      </c>
      <c r="D850" s="6" t="s">
        <v>1653</v>
      </c>
      <c r="E850" s="10">
        <v>43314</v>
      </c>
      <c r="F850" s="6" t="s">
        <v>2066</v>
      </c>
      <c r="G850" s="6" t="s">
        <v>63</v>
      </c>
      <c r="H850" s="25">
        <v>1653913.04</v>
      </c>
      <c r="I850" s="6" t="s">
        <v>1787</v>
      </c>
      <c r="J850" s="6" t="s">
        <v>2013</v>
      </c>
      <c r="K850" s="6" t="s">
        <v>2067</v>
      </c>
      <c r="L850" s="6" t="s">
        <v>2037</v>
      </c>
      <c r="M850" s="6" t="s">
        <v>2068</v>
      </c>
      <c r="N850" s="6" t="s">
        <v>2069</v>
      </c>
      <c r="O850" s="25">
        <v>1653913.04</v>
      </c>
      <c r="P850" s="11">
        <v>1653913.04</v>
      </c>
      <c r="Q850" s="6" t="s">
        <v>1098</v>
      </c>
      <c r="R850" s="25">
        <v>689.13043333333337</v>
      </c>
      <c r="S850" s="6" t="s">
        <v>41</v>
      </c>
      <c r="T850" s="6">
        <v>1842</v>
      </c>
      <c r="U850" s="13" t="s">
        <v>42</v>
      </c>
      <c r="V850" s="6" t="s">
        <v>373</v>
      </c>
      <c r="W850" s="10">
        <v>43315</v>
      </c>
      <c r="X850" s="10">
        <v>43358</v>
      </c>
      <c r="Y850" s="6" t="s">
        <v>599</v>
      </c>
      <c r="Z850" s="6" t="s">
        <v>60</v>
      </c>
      <c r="AA850" s="6" t="s">
        <v>600</v>
      </c>
      <c r="AB850" s="21" t="s">
        <v>2421</v>
      </c>
      <c r="AC850" s="6" t="s">
        <v>2438</v>
      </c>
      <c r="AD850" s="26"/>
    </row>
    <row r="851" spans="1:30" ht="69.95" customHeight="1">
      <c r="A851" s="16"/>
      <c r="B851" s="6">
        <v>2018</v>
      </c>
      <c r="C851" s="6" t="s">
        <v>62</v>
      </c>
      <c r="D851" s="6" t="s">
        <v>1654</v>
      </c>
      <c r="E851" s="10">
        <v>43312</v>
      </c>
      <c r="F851" s="6" t="s">
        <v>2070</v>
      </c>
      <c r="G851" s="6" t="s">
        <v>3341</v>
      </c>
      <c r="H851" s="25">
        <v>268464.48</v>
      </c>
      <c r="I851" s="6" t="s">
        <v>1286</v>
      </c>
      <c r="J851" s="6" t="s">
        <v>2071</v>
      </c>
      <c r="K851" s="6" t="s">
        <v>2072</v>
      </c>
      <c r="L851" s="6" t="s">
        <v>2073</v>
      </c>
      <c r="M851" s="6" t="s">
        <v>2074</v>
      </c>
      <c r="N851" s="6" t="s">
        <v>57</v>
      </c>
      <c r="O851" s="25">
        <v>268464.48</v>
      </c>
      <c r="P851" s="11">
        <v>266957.71000000002</v>
      </c>
      <c r="Q851" s="6" t="s">
        <v>1788</v>
      </c>
      <c r="R851" s="25">
        <v>796.63050445103852</v>
      </c>
      <c r="S851" s="6" t="s">
        <v>41</v>
      </c>
      <c r="T851" s="6">
        <v>987</v>
      </c>
      <c r="U851" s="13" t="s">
        <v>42</v>
      </c>
      <c r="V851" s="7" t="s">
        <v>43</v>
      </c>
      <c r="W851" s="10">
        <v>43313</v>
      </c>
      <c r="X851" s="10">
        <v>43343</v>
      </c>
      <c r="Y851" s="6" t="s">
        <v>811</v>
      </c>
      <c r="Z851" s="6" t="s">
        <v>812</v>
      </c>
      <c r="AA851" s="6" t="s">
        <v>46</v>
      </c>
      <c r="AB851" s="21" t="s">
        <v>2422</v>
      </c>
      <c r="AC851" s="6" t="s">
        <v>2438</v>
      </c>
      <c r="AD851" s="26"/>
    </row>
    <row r="852" spans="1:30" ht="69.95" customHeight="1">
      <c r="A852" s="16"/>
      <c r="B852" s="6">
        <v>2018</v>
      </c>
      <c r="C852" s="6" t="s">
        <v>62</v>
      </c>
      <c r="D852" s="6" t="s">
        <v>1655</v>
      </c>
      <c r="E852" s="10">
        <v>43314</v>
      </c>
      <c r="F852" s="6" t="s">
        <v>2075</v>
      </c>
      <c r="G852" s="6" t="s">
        <v>63</v>
      </c>
      <c r="H852" s="25">
        <v>1297355.8899999999</v>
      </c>
      <c r="I852" s="6" t="s">
        <v>1789</v>
      </c>
      <c r="J852" s="6" t="s">
        <v>2076</v>
      </c>
      <c r="K852" s="6" t="s">
        <v>2077</v>
      </c>
      <c r="L852" s="6" t="s">
        <v>1856</v>
      </c>
      <c r="M852" s="6" t="s">
        <v>2078</v>
      </c>
      <c r="N852" s="6" t="s">
        <v>2079</v>
      </c>
      <c r="O852" s="25">
        <v>1297355.8899999999</v>
      </c>
      <c r="P852" s="11">
        <v>1297355.8799999999</v>
      </c>
      <c r="Q852" s="6" t="s">
        <v>1790</v>
      </c>
      <c r="R852" s="25">
        <v>368.25316207777462</v>
      </c>
      <c r="S852" s="6" t="s">
        <v>41</v>
      </c>
      <c r="T852" s="6">
        <v>1566</v>
      </c>
      <c r="U852" s="13" t="s">
        <v>42</v>
      </c>
      <c r="V852" s="43" t="s">
        <v>43</v>
      </c>
      <c r="W852" s="10">
        <v>43315</v>
      </c>
      <c r="X852" s="10">
        <v>43358</v>
      </c>
      <c r="Y852" s="6" t="s">
        <v>429</v>
      </c>
      <c r="Z852" s="6" t="s">
        <v>290</v>
      </c>
      <c r="AA852" s="6" t="s">
        <v>73</v>
      </c>
      <c r="AB852" s="21" t="s">
        <v>2423</v>
      </c>
      <c r="AC852" s="6" t="s">
        <v>2438</v>
      </c>
      <c r="AD852" s="26"/>
    </row>
    <row r="853" spans="1:30" ht="69.95" customHeight="1">
      <c r="A853" s="16"/>
      <c r="B853" s="6">
        <v>2018</v>
      </c>
      <c r="C853" s="6" t="s">
        <v>62</v>
      </c>
      <c r="D853" s="6" t="s">
        <v>1656</v>
      </c>
      <c r="E853" s="10">
        <v>43312</v>
      </c>
      <c r="F853" s="6" t="s">
        <v>2080</v>
      </c>
      <c r="G853" s="6" t="s">
        <v>63</v>
      </c>
      <c r="H853" s="25">
        <v>1586132.46</v>
      </c>
      <c r="I853" s="6" t="s">
        <v>773</v>
      </c>
      <c r="J853" s="6" t="s">
        <v>2081</v>
      </c>
      <c r="K853" s="6" t="s">
        <v>1701</v>
      </c>
      <c r="L853" s="6" t="s">
        <v>2082</v>
      </c>
      <c r="M853" s="6" t="s">
        <v>2083</v>
      </c>
      <c r="N853" s="6" t="s">
        <v>178</v>
      </c>
      <c r="O853" s="25">
        <v>1586132.46</v>
      </c>
      <c r="P853" s="11">
        <v>872133.56</v>
      </c>
      <c r="Q853" s="6" t="s">
        <v>1791</v>
      </c>
      <c r="R853" s="25">
        <v>526.95430564784056</v>
      </c>
      <c r="S853" s="6" t="s">
        <v>41</v>
      </c>
      <c r="T853" s="6">
        <v>2029</v>
      </c>
      <c r="U853" s="13" t="s">
        <v>42</v>
      </c>
      <c r="V853" s="43" t="s">
        <v>43</v>
      </c>
      <c r="W853" s="10">
        <v>43313</v>
      </c>
      <c r="X853" s="10">
        <v>43353</v>
      </c>
      <c r="Y853" s="6" t="s">
        <v>317</v>
      </c>
      <c r="Z853" s="6" t="s">
        <v>191</v>
      </c>
      <c r="AA853" s="6" t="s">
        <v>192</v>
      </c>
      <c r="AB853" s="21" t="s">
        <v>2871</v>
      </c>
      <c r="AC853" s="6" t="s">
        <v>2438</v>
      </c>
      <c r="AD853" s="26"/>
    </row>
    <row r="854" spans="1:30" ht="69.95" customHeight="1">
      <c r="A854" s="16"/>
      <c r="B854" s="6">
        <v>2018</v>
      </c>
      <c r="C854" s="6" t="s">
        <v>62</v>
      </c>
      <c r="D854" s="6" t="s">
        <v>1657</v>
      </c>
      <c r="E854" s="10">
        <v>43312</v>
      </c>
      <c r="F854" s="6" t="s">
        <v>2084</v>
      </c>
      <c r="G854" s="6" t="s">
        <v>3341</v>
      </c>
      <c r="H854" s="25">
        <v>162222.35</v>
      </c>
      <c r="I854" s="6" t="s">
        <v>1792</v>
      </c>
      <c r="J854" s="6" t="s">
        <v>1589</v>
      </c>
      <c r="K854" s="6" t="s">
        <v>1590</v>
      </c>
      <c r="L854" s="6" t="s">
        <v>1591</v>
      </c>
      <c r="M854" s="6" t="s">
        <v>1592</v>
      </c>
      <c r="N854" s="6" t="s">
        <v>1593</v>
      </c>
      <c r="O854" s="25">
        <v>162222.35</v>
      </c>
      <c r="P854" s="11">
        <v>162199.72999999998</v>
      </c>
      <c r="Q854" s="6" t="s">
        <v>1793</v>
      </c>
      <c r="R854" s="25">
        <v>687.38283898305087</v>
      </c>
      <c r="S854" s="6" t="s">
        <v>41</v>
      </c>
      <c r="T854" s="6">
        <v>367</v>
      </c>
      <c r="U854" s="13" t="s">
        <v>42</v>
      </c>
      <c r="V854" s="7" t="s">
        <v>43</v>
      </c>
      <c r="W854" s="10">
        <v>43313</v>
      </c>
      <c r="X854" s="10">
        <v>43343</v>
      </c>
      <c r="Y854" s="6" t="s">
        <v>718</v>
      </c>
      <c r="Z854" s="6" t="s">
        <v>1794</v>
      </c>
      <c r="AA854" s="6" t="s">
        <v>1795</v>
      </c>
      <c r="AB854" s="21" t="s">
        <v>2870</v>
      </c>
      <c r="AC854" s="6" t="s">
        <v>2438</v>
      </c>
      <c r="AD854" s="26"/>
    </row>
    <row r="855" spans="1:30" ht="69.95" customHeight="1">
      <c r="A855" s="16"/>
      <c r="B855" s="6">
        <v>2018</v>
      </c>
      <c r="C855" s="6" t="s">
        <v>62</v>
      </c>
      <c r="D855" s="6" t="s">
        <v>1658</v>
      </c>
      <c r="E855" s="10">
        <v>43314</v>
      </c>
      <c r="F855" s="6" t="s">
        <v>2085</v>
      </c>
      <c r="G855" s="6" t="s">
        <v>3341</v>
      </c>
      <c r="H855" s="25">
        <v>950254.36</v>
      </c>
      <c r="I855" s="6" t="s">
        <v>1317</v>
      </c>
      <c r="J855" s="6" t="s">
        <v>2086</v>
      </c>
      <c r="K855" s="6" t="s">
        <v>2087</v>
      </c>
      <c r="L855" s="6" t="s">
        <v>2088</v>
      </c>
      <c r="M855" s="6" t="s">
        <v>2089</v>
      </c>
      <c r="N855" s="6" t="s">
        <v>2090</v>
      </c>
      <c r="O855" s="25">
        <v>950254.36</v>
      </c>
      <c r="P855" s="11">
        <v>925152.6399999999</v>
      </c>
      <c r="Q855" s="6" t="s">
        <v>1796</v>
      </c>
      <c r="R855" s="25">
        <v>316751.45333333331</v>
      </c>
      <c r="S855" s="6" t="s">
        <v>41</v>
      </c>
      <c r="T855" s="6">
        <v>3690</v>
      </c>
      <c r="U855" s="13" t="s">
        <v>42</v>
      </c>
      <c r="V855" s="7" t="s">
        <v>43</v>
      </c>
      <c r="W855" s="10">
        <v>43315</v>
      </c>
      <c r="X855" s="10">
        <v>43358</v>
      </c>
      <c r="Y855" s="6" t="s">
        <v>711</v>
      </c>
      <c r="Z855" s="6" t="s">
        <v>1797</v>
      </c>
      <c r="AA855" s="6" t="s">
        <v>413</v>
      </c>
      <c r="AB855" s="21" t="s">
        <v>2878</v>
      </c>
      <c r="AC855" s="6" t="s">
        <v>2438</v>
      </c>
      <c r="AD855" s="26"/>
    </row>
    <row r="856" spans="1:30" ht="69.95" customHeight="1">
      <c r="A856" s="16"/>
      <c r="B856" s="6">
        <v>2018</v>
      </c>
      <c r="C856" s="6" t="s">
        <v>62</v>
      </c>
      <c r="D856" s="6" t="s">
        <v>1659</v>
      </c>
      <c r="E856" s="10">
        <v>43313</v>
      </c>
      <c r="F856" s="6" t="s">
        <v>2091</v>
      </c>
      <c r="G856" s="6" t="s">
        <v>63</v>
      </c>
      <c r="H856" s="25">
        <v>1059160.18</v>
      </c>
      <c r="I856" s="6" t="s">
        <v>978</v>
      </c>
      <c r="J856" s="6" t="s">
        <v>2092</v>
      </c>
      <c r="K856" s="6" t="s">
        <v>2025</v>
      </c>
      <c r="L856" s="6" t="s">
        <v>2093</v>
      </c>
      <c r="M856" s="6" t="s">
        <v>2094</v>
      </c>
      <c r="N856" s="6" t="s">
        <v>2095</v>
      </c>
      <c r="O856" s="25">
        <v>1059160.18</v>
      </c>
      <c r="P856" s="11">
        <v>1059160.18</v>
      </c>
      <c r="Q856" s="6" t="s">
        <v>499</v>
      </c>
      <c r="R856" s="25">
        <v>1059160.18</v>
      </c>
      <c r="S856" s="6" t="s">
        <v>41</v>
      </c>
      <c r="T856" s="6">
        <v>9855</v>
      </c>
      <c r="U856" s="13" t="s">
        <v>42</v>
      </c>
      <c r="V856" s="43" t="s">
        <v>43</v>
      </c>
      <c r="W856" s="10">
        <v>43314</v>
      </c>
      <c r="X856" s="10">
        <v>43373</v>
      </c>
      <c r="Y856" s="6" t="s">
        <v>780</v>
      </c>
      <c r="Z856" s="6" t="s">
        <v>818</v>
      </c>
      <c r="AA856" s="6" t="s">
        <v>186</v>
      </c>
      <c r="AB856" s="21" t="s">
        <v>2424</v>
      </c>
      <c r="AC856" s="6" t="s">
        <v>2438</v>
      </c>
      <c r="AD856" s="26"/>
    </row>
    <row r="857" spans="1:30" ht="69.95" customHeight="1">
      <c r="A857" s="16"/>
      <c r="B857" s="6">
        <v>2018</v>
      </c>
      <c r="C857" s="6" t="s">
        <v>62</v>
      </c>
      <c r="D857" s="6" t="s">
        <v>1660</v>
      </c>
      <c r="E857" s="10">
        <v>43314</v>
      </c>
      <c r="F857" s="6" t="s">
        <v>2096</v>
      </c>
      <c r="G857" s="6" t="s">
        <v>63</v>
      </c>
      <c r="H857" s="25">
        <v>1237299.54</v>
      </c>
      <c r="I857" s="6" t="s">
        <v>1798</v>
      </c>
      <c r="J857" s="6" t="s">
        <v>1883</v>
      </c>
      <c r="K857" s="6" t="s">
        <v>1884</v>
      </c>
      <c r="L857" s="6" t="s">
        <v>1885</v>
      </c>
      <c r="M857" s="6" t="s">
        <v>1886</v>
      </c>
      <c r="N857" s="6" t="s">
        <v>1887</v>
      </c>
      <c r="O857" s="25">
        <v>1237299.54</v>
      </c>
      <c r="P857" s="11">
        <v>1195885.1299999999</v>
      </c>
      <c r="Q857" s="6" t="s">
        <v>1799</v>
      </c>
      <c r="R857" s="25">
        <v>123729.954</v>
      </c>
      <c r="S857" s="6" t="s">
        <v>41</v>
      </c>
      <c r="T857" s="6">
        <v>21598</v>
      </c>
      <c r="U857" s="13" t="s">
        <v>42</v>
      </c>
      <c r="V857" s="7" t="s">
        <v>43</v>
      </c>
      <c r="W857" s="10">
        <v>43315</v>
      </c>
      <c r="X857" s="10">
        <v>43358</v>
      </c>
      <c r="Y857" s="6" t="s">
        <v>317</v>
      </c>
      <c r="Z857" s="6" t="s">
        <v>191</v>
      </c>
      <c r="AA857" s="6" t="s">
        <v>192</v>
      </c>
      <c r="AB857" s="21" t="s">
        <v>2425</v>
      </c>
      <c r="AC857" s="6" t="s">
        <v>2438</v>
      </c>
      <c r="AD857" s="26"/>
    </row>
    <row r="858" spans="1:30" ht="69.95" customHeight="1">
      <c r="A858" s="16"/>
      <c r="B858" s="6">
        <v>2018</v>
      </c>
      <c r="C858" s="6" t="s">
        <v>62</v>
      </c>
      <c r="D858" s="6" t="s">
        <v>1661</v>
      </c>
      <c r="E858" s="10">
        <v>43313</v>
      </c>
      <c r="F858" s="6" t="s">
        <v>2097</v>
      </c>
      <c r="G858" s="6" t="s">
        <v>63</v>
      </c>
      <c r="H858" s="25">
        <v>1064477.6000000001</v>
      </c>
      <c r="I858" s="6" t="s">
        <v>1317</v>
      </c>
      <c r="J858" s="6" t="s">
        <v>2098</v>
      </c>
      <c r="K858" s="6" t="s">
        <v>2099</v>
      </c>
      <c r="L858" s="6" t="s">
        <v>2025</v>
      </c>
      <c r="M858" s="6" t="s">
        <v>2100</v>
      </c>
      <c r="N858" s="6" t="s">
        <v>2101</v>
      </c>
      <c r="O858" s="25">
        <v>1064477.6000000001</v>
      </c>
      <c r="P858" s="11">
        <v>1063883.54</v>
      </c>
      <c r="Q858" s="6" t="s">
        <v>1800</v>
      </c>
      <c r="R858" s="25">
        <v>88706.466666666674</v>
      </c>
      <c r="S858" s="6" t="s">
        <v>1801</v>
      </c>
      <c r="T858" s="6" t="s">
        <v>121</v>
      </c>
      <c r="U858" s="13" t="s">
        <v>42</v>
      </c>
      <c r="V858" s="43" t="s">
        <v>43</v>
      </c>
      <c r="W858" s="10">
        <v>43314</v>
      </c>
      <c r="X858" s="10">
        <v>43373</v>
      </c>
      <c r="Y858" s="6" t="s">
        <v>680</v>
      </c>
      <c r="Z858" s="6" t="s">
        <v>681</v>
      </c>
      <c r="AA858" s="6" t="s">
        <v>132</v>
      </c>
      <c r="AB858" s="21" t="s">
        <v>2426</v>
      </c>
      <c r="AC858" s="6" t="s">
        <v>2438</v>
      </c>
      <c r="AD858" s="26"/>
    </row>
    <row r="859" spans="1:30" ht="69.95" customHeight="1">
      <c r="A859" s="16"/>
      <c r="B859" s="6">
        <v>2018</v>
      </c>
      <c r="C859" s="6" t="s">
        <v>62</v>
      </c>
      <c r="D859" s="6" t="s">
        <v>1662</v>
      </c>
      <c r="E859" s="10">
        <v>43313</v>
      </c>
      <c r="F859" s="6" t="s">
        <v>2102</v>
      </c>
      <c r="G859" s="6" t="s">
        <v>3341</v>
      </c>
      <c r="H859" s="25">
        <v>108640.8</v>
      </c>
      <c r="I859" s="6" t="s">
        <v>90</v>
      </c>
      <c r="J859" s="6" t="s">
        <v>2103</v>
      </c>
      <c r="K859" s="6" t="s">
        <v>1952</v>
      </c>
      <c r="L859" s="6" t="s">
        <v>1857</v>
      </c>
      <c r="M859" s="6" t="s">
        <v>2104</v>
      </c>
      <c r="N859" s="6" t="s">
        <v>2105</v>
      </c>
      <c r="O859" s="25">
        <v>108640.8</v>
      </c>
      <c r="P859" s="11">
        <v>108637.22</v>
      </c>
      <c r="Q859" s="6" t="s">
        <v>1802</v>
      </c>
      <c r="R859" s="25">
        <v>2586.6857142857143</v>
      </c>
      <c r="S859" s="6" t="s">
        <v>41</v>
      </c>
      <c r="T859" s="6">
        <v>958</v>
      </c>
      <c r="U859" s="13" t="s">
        <v>42</v>
      </c>
      <c r="V859" s="7" t="s">
        <v>43</v>
      </c>
      <c r="W859" s="10">
        <v>43314</v>
      </c>
      <c r="X859" s="10">
        <v>43373</v>
      </c>
      <c r="Y859" s="6" t="s">
        <v>753</v>
      </c>
      <c r="Z859" s="6" t="s">
        <v>827</v>
      </c>
      <c r="AA859" s="6" t="s">
        <v>755</v>
      </c>
      <c r="AB859" s="21" t="s">
        <v>2427</v>
      </c>
      <c r="AC859" s="6" t="s">
        <v>2438</v>
      </c>
      <c r="AD859" s="26"/>
    </row>
    <row r="860" spans="1:30" ht="69.95" customHeight="1">
      <c r="A860" s="16"/>
      <c r="B860" s="6">
        <v>2018</v>
      </c>
      <c r="C860" s="6" t="s">
        <v>62</v>
      </c>
      <c r="D860" s="6" t="s">
        <v>1663</v>
      </c>
      <c r="E860" s="10">
        <v>43313</v>
      </c>
      <c r="F860" s="6" t="s">
        <v>2106</v>
      </c>
      <c r="G860" s="6" t="s">
        <v>63</v>
      </c>
      <c r="H860" s="25">
        <v>1594039.04</v>
      </c>
      <c r="I860" s="6" t="s">
        <v>1803</v>
      </c>
      <c r="J860" s="6" t="s">
        <v>2107</v>
      </c>
      <c r="K860" s="6" t="s">
        <v>1917</v>
      </c>
      <c r="L860" s="6" t="s">
        <v>2108</v>
      </c>
      <c r="M860" s="6" t="s">
        <v>2109</v>
      </c>
      <c r="N860" s="6" t="s">
        <v>2110</v>
      </c>
      <c r="O860" s="25">
        <v>1594039.04</v>
      </c>
      <c r="P860" s="11">
        <v>1289624.0920000002</v>
      </c>
      <c r="Q860" s="6" t="s">
        <v>1804</v>
      </c>
      <c r="R860" s="25">
        <v>4981.3720000000003</v>
      </c>
      <c r="S860" s="6" t="s">
        <v>41</v>
      </c>
      <c r="T860" s="6">
        <v>1202</v>
      </c>
      <c r="U860" s="13" t="s">
        <v>42</v>
      </c>
      <c r="V860" s="7" t="s">
        <v>43</v>
      </c>
      <c r="W860" s="10">
        <v>43314</v>
      </c>
      <c r="X860" s="10">
        <v>43373</v>
      </c>
      <c r="Y860" s="6" t="s">
        <v>402</v>
      </c>
      <c r="Z860" s="6" t="s">
        <v>715</v>
      </c>
      <c r="AA860" s="6" t="s">
        <v>311</v>
      </c>
      <c r="AB860" s="21" t="s">
        <v>2869</v>
      </c>
      <c r="AC860" s="6" t="s">
        <v>2438</v>
      </c>
      <c r="AD860" s="26"/>
    </row>
    <row r="861" spans="1:30" ht="69.95" customHeight="1">
      <c r="A861" s="16"/>
      <c r="B861" s="6">
        <v>2018</v>
      </c>
      <c r="C861" s="6" t="s">
        <v>62</v>
      </c>
      <c r="D861" s="40" t="s">
        <v>3304</v>
      </c>
      <c r="E861" s="10">
        <v>43312</v>
      </c>
      <c r="F861" s="6" t="s">
        <v>2111</v>
      </c>
      <c r="G861" s="6" t="s">
        <v>3341</v>
      </c>
      <c r="H861" s="25">
        <v>669637.06000000006</v>
      </c>
      <c r="I861" s="6" t="s">
        <v>244</v>
      </c>
      <c r="J861" s="6" t="s">
        <v>2024</v>
      </c>
      <c r="K861" s="6" t="s">
        <v>2088</v>
      </c>
      <c r="L861" s="6" t="s">
        <v>2112</v>
      </c>
      <c r="M861" s="6" t="s">
        <v>2113</v>
      </c>
      <c r="N861" s="6" t="s">
        <v>2114</v>
      </c>
      <c r="O861" s="25">
        <v>669637.06000000006</v>
      </c>
      <c r="P861" s="11">
        <v>669005.84</v>
      </c>
      <c r="Q861" s="6" t="s">
        <v>1805</v>
      </c>
      <c r="R861" s="25">
        <v>1699.5864467005078</v>
      </c>
      <c r="S861" s="6" t="s">
        <v>41</v>
      </c>
      <c r="T861" s="6">
        <v>889</v>
      </c>
      <c r="U861" s="13" t="s">
        <v>42</v>
      </c>
      <c r="V861" s="43" t="s">
        <v>43</v>
      </c>
      <c r="W861" s="10">
        <v>43313</v>
      </c>
      <c r="X861" s="10">
        <v>43353</v>
      </c>
      <c r="Y861" s="6" t="s">
        <v>331</v>
      </c>
      <c r="Z861" s="6" t="s">
        <v>332</v>
      </c>
      <c r="AA861" s="6" t="s">
        <v>116</v>
      </c>
      <c r="AB861" s="21" t="s">
        <v>3292</v>
      </c>
      <c r="AC861" s="6" t="s">
        <v>2438</v>
      </c>
      <c r="AD861" s="26"/>
    </row>
    <row r="862" spans="1:30" ht="69.95" customHeight="1">
      <c r="A862" s="16"/>
      <c r="B862" s="6">
        <v>2018</v>
      </c>
      <c r="C862" s="6" t="s">
        <v>62</v>
      </c>
      <c r="D862" s="6" t="s">
        <v>1664</v>
      </c>
      <c r="E862" s="10">
        <v>43313</v>
      </c>
      <c r="F862" s="6" t="s">
        <v>2115</v>
      </c>
      <c r="G862" s="6" t="s">
        <v>3341</v>
      </c>
      <c r="H862" s="25">
        <v>150791.64000000001</v>
      </c>
      <c r="I862" s="6" t="s">
        <v>1258</v>
      </c>
      <c r="J862" s="6" t="s">
        <v>1963</v>
      </c>
      <c r="K862" s="6" t="s">
        <v>1964</v>
      </c>
      <c r="L862" s="6" t="s">
        <v>1939</v>
      </c>
      <c r="M862" s="6" t="s">
        <v>1965</v>
      </c>
      <c r="N862" s="6" t="s">
        <v>1966</v>
      </c>
      <c r="O862" s="25">
        <v>150791.64000000001</v>
      </c>
      <c r="P862" s="11">
        <v>142614.76999999999</v>
      </c>
      <c r="Q862" s="6" t="s">
        <v>1806</v>
      </c>
      <c r="R862" s="25">
        <v>1507.9164000000001</v>
      </c>
      <c r="S862" s="6" t="s">
        <v>41</v>
      </c>
      <c r="T862" s="6">
        <v>1599</v>
      </c>
      <c r="U862" s="13" t="s">
        <v>42</v>
      </c>
      <c r="V862" s="7" t="s">
        <v>43</v>
      </c>
      <c r="W862" s="10">
        <v>43314</v>
      </c>
      <c r="X862" s="10">
        <v>43373</v>
      </c>
      <c r="Y862" s="6" t="s">
        <v>331</v>
      </c>
      <c r="Z862" s="6" t="s">
        <v>332</v>
      </c>
      <c r="AA862" s="6" t="s">
        <v>116</v>
      </c>
      <c r="AB862" s="21" t="s">
        <v>2868</v>
      </c>
      <c r="AC862" s="6" t="s">
        <v>2438</v>
      </c>
      <c r="AD862" s="26"/>
    </row>
    <row r="863" spans="1:30" ht="69.95" customHeight="1">
      <c r="A863" s="16"/>
      <c r="B863" s="6">
        <v>2018</v>
      </c>
      <c r="C863" s="6" t="s">
        <v>62</v>
      </c>
      <c r="D863" s="6" t="s">
        <v>1665</v>
      </c>
      <c r="E863" s="10">
        <v>43312</v>
      </c>
      <c r="F863" s="6" t="s">
        <v>2116</v>
      </c>
      <c r="G863" s="6" t="s">
        <v>63</v>
      </c>
      <c r="H863" s="25">
        <v>1431736.02</v>
      </c>
      <c r="I863" s="6" t="s">
        <v>1145</v>
      </c>
      <c r="J863" s="6" t="s">
        <v>2019</v>
      </c>
      <c r="K863" s="6" t="s">
        <v>1591</v>
      </c>
      <c r="L863" s="6" t="s">
        <v>2020</v>
      </c>
      <c r="M863" s="6" t="s">
        <v>2021</v>
      </c>
      <c r="N863" s="6" t="s">
        <v>2022</v>
      </c>
      <c r="O863" s="25">
        <v>1431736.02</v>
      </c>
      <c r="P863" s="11">
        <v>1375795.26</v>
      </c>
      <c r="Q863" s="6" t="s">
        <v>629</v>
      </c>
      <c r="R863" s="25">
        <v>477.24534</v>
      </c>
      <c r="S863" s="6" t="s">
        <v>41</v>
      </c>
      <c r="T863" s="6">
        <v>1674</v>
      </c>
      <c r="U863" s="13" t="s">
        <v>42</v>
      </c>
      <c r="V863" s="43" t="s">
        <v>43</v>
      </c>
      <c r="W863" s="10">
        <v>43313</v>
      </c>
      <c r="X863" s="10">
        <v>43353</v>
      </c>
      <c r="Y863" s="6" t="s">
        <v>402</v>
      </c>
      <c r="Z863" s="6" t="s">
        <v>403</v>
      </c>
      <c r="AA863" s="6" t="s">
        <v>104</v>
      </c>
      <c r="AB863" s="21" t="s">
        <v>2867</v>
      </c>
      <c r="AC863" s="6" t="s">
        <v>2438</v>
      </c>
      <c r="AD863" s="26"/>
    </row>
    <row r="864" spans="1:30" ht="69.95" customHeight="1">
      <c r="A864" s="16"/>
      <c r="B864" s="6">
        <v>2018</v>
      </c>
      <c r="C864" s="6" t="s">
        <v>62</v>
      </c>
      <c r="D864" s="6" t="s">
        <v>1666</v>
      </c>
      <c r="E864" s="10">
        <v>43311</v>
      </c>
      <c r="F864" s="6" t="s">
        <v>2117</v>
      </c>
      <c r="G864" s="6" t="s">
        <v>63</v>
      </c>
      <c r="H864" s="25">
        <v>980000</v>
      </c>
      <c r="I864" s="6" t="s">
        <v>1317</v>
      </c>
      <c r="J864" s="6" t="s">
        <v>1823</v>
      </c>
      <c r="K864" s="6" t="s">
        <v>1917</v>
      </c>
      <c r="L864" s="6" t="s">
        <v>1918</v>
      </c>
      <c r="M864" s="6" t="s">
        <v>1919</v>
      </c>
      <c r="N864" s="6" t="s">
        <v>1920</v>
      </c>
      <c r="O864" s="25">
        <v>980000</v>
      </c>
      <c r="P864" s="11">
        <v>979956.83000000007</v>
      </c>
      <c r="Q864" s="6" t="s">
        <v>1221</v>
      </c>
      <c r="R864" s="25">
        <v>2722.2222222222222</v>
      </c>
      <c r="S864" s="6" t="s">
        <v>41</v>
      </c>
      <c r="T864" s="6">
        <v>994</v>
      </c>
      <c r="U864" s="13" t="s">
        <v>42</v>
      </c>
      <c r="V864" s="7" t="s">
        <v>43</v>
      </c>
      <c r="W864" s="10">
        <v>43313</v>
      </c>
      <c r="X864" s="10">
        <v>43403</v>
      </c>
      <c r="Y864" s="6" t="s">
        <v>431</v>
      </c>
      <c r="Z864" s="6" t="s">
        <v>181</v>
      </c>
      <c r="AA864" s="6" t="s">
        <v>89</v>
      </c>
      <c r="AB864" s="21" t="s">
        <v>2428</v>
      </c>
      <c r="AC864" s="6" t="s">
        <v>2438</v>
      </c>
      <c r="AD864" s="26"/>
    </row>
    <row r="865" spans="1:30" ht="69.95" customHeight="1">
      <c r="A865" s="16"/>
      <c r="B865" s="6">
        <v>2018</v>
      </c>
      <c r="C865" s="6" t="s">
        <v>62</v>
      </c>
      <c r="D865" s="6" t="s">
        <v>1667</v>
      </c>
      <c r="E865" s="10">
        <v>43318</v>
      </c>
      <c r="F865" s="6" t="s">
        <v>2118</v>
      </c>
      <c r="G865" s="6" t="s">
        <v>63</v>
      </c>
      <c r="H865" s="25">
        <v>336381.59</v>
      </c>
      <c r="I865" s="6" t="s">
        <v>1807</v>
      </c>
      <c r="J865" s="6" t="s">
        <v>2119</v>
      </c>
      <c r="K865" s="6" t="s">
        <v>2073</v>
      </c>
      <c r="L865" s="6" t="s">
        <v>2120</v>
      </c>
      <c r="M865" s="6" t="s">
        <v>2121</v>
      </c>
      <c r="N865" s="6" t="s">
        <v>219</v>
      </c>
      <c r="O865" s="25">
        <v>336381.59</v>
      </c>
      <c r="P865" s="11">
        <v>336321.84</v>
      </c>
      <c r="Q865" s="6" t="s">
        <v>1808</v>
      </c>
      <c r="R865" s="25">
        <v>275.7226147540984</v>
      </c>
      <c r="S865" s="6" t="s">
        <v>41</v>
      </c>
      <c r="T865" s="6">
        <v>12066</v>
      </c>
      <c r="U865" s="13" t="s">
        <v>42</v>
      </c>
      <c r="V865" s="7" t="s">
        <v>43</v>
      </c>
      <c r="W865" s="10">
        <v>43318</v>
      </c>
      <c r="X865" s="10">
        <v>43342</v>
      </c>
      <c r="Y865" s="6" t="s">
        <v>521</v>
      </c>
      <c r="Z865" s="6" t="s">
        <v>522</v>
      </c>
      <c r="AA865" s="6" t="s">
        <v>523</v>
      </c>
      <c r="AB865" s="21" t="s">
        <v>2866</v>
      </c>
      <c r="AC865" s="6" t="s">
        <v>2438</v>
      </c>
      <c r="AD865" s="6"/>
    </row>
    <row r="866" spans="1:30" ht="69.95" customHeight="1">
      <c r="A866" s="16"/>
      <c r="B866" s="6">
        <v>2018</v>
      </c>
      <c r="C866" s="6" t="s">
        <v>62</v>
      </c>
      <c r="D866" s="6" t="s">
        <v>1668</v>
      </c>
      <c r="E866" s="10">
        <v>43318</v>
      </c>
      <c r="F866" s="6" t="s">
        <v>2122</v>
      </c>
      <c r="G866" s="6" t="s">
        <v>3341</v>
      </c>
      <c r="H866" s="25">
        <v>463826.97</v>
      </c>
      <c r="I866" s="6" t="s">
        <v>1809</v>
      </c>
      <c r="J866" s="6" t="s">
        <v>2123</v>
      </c>
      <c r="K866" s="6" t="s">
        <v>1842</v>
      </c>
      <c r="L866" s="6" t="s">
        <v>1591</v>
      </c>
      <c r="M866" s="6" t="s">
        <v>2124</v>
      </c>
      <c r="N866" s="6" t="s">
        <v>2125</v>
      </c>
      <c r="O866" s="25">
        <v>463826.97</v>
      </c>
      <c r="P866" s="11">
        <v>365305.1</v>
      </c>
      <c r="Q866" s="6" t="s">
        <v>1810</v>
      </c>
      <c r="R866" s="25">
        <v>615.15513262599461</v>
      </c>
      <c r="S866" s="6" t="s">
        <v>41</v>
      </c>
      <c r="T866" s="6">
        <v>3982</v>
      </c>
      <c r="U866" s="13" t="s">
        <v>42</v>
      </c>
      <c r="V866" s="7" t="s">
        <v>43</v>
      </c>
      <c r="W866" s="10">
        <v>43318</v>
      </c>
      <c r="X866" s="10">
        <v>43342</v>
      </c>
      <c r="Y866" s="6" t="s">
        <v>462</v>
      </c>
      <c r="Z866" s="6" t="s">
        <v>138</v>
      </c>
      <c r="AA866" s="6" t="s">
        <v>463</v>
      </c>
      <c r="AB866" s="21" t="s">
        <v>2865</v>
      </c>
      <c r="AC866" s="6" t="s">
        <v>2438</v>
      </c>
      <c r="AD866" s="26"/>
    </row>
    <row r="867" spans="1:30" ht="69.95" customHeight="1">
      <c r="A867" s="16"/>
      <c r="B867" s="6">
        <v>2018</v>
      </c>
      <c r="C867" s="6" t="s">
        <v>62</v>
      </c>
      <c r="D867" s="6" t="s">
        <v>1669</v>
      </c>
      <c r="E867" s="10">
        <v>43318</v>
      </c>
      <c r="F867" s="6" t="s">
        <v>2126</v>
      </c>
      <c r="G867" s="6" t="s">
        <v>63</v>
      </c>
      <c r="H867" s="25">
        <v>1238491.46</v>
      </c>
      <c r="I867" s="6" t="s">
        <v>1811</v>
      </c>
      <c r="J867" s="6" t="s">
        <v>2127</v>
      </c>
      <c r="K867" s="6" t="s">
        <v>2128</v>
      </c>
      <c r="L867" s="6" t="s">
        <v>1902</v>
      </c>
      <c r="M867" s="6" t="s">
        <v>2129</v>
      </c>
      <c r="N867" s="6" t="s">
        <v>2130</v>
      </c>
      <c r="O867" s="25">
        <v>1238491.46</v>
      </c>
      <c r="P867" s="11">
        <v>1021639.36</v>
      </c>
      <c r="Q867" s="6" t="s">
        <v>1812</v>
      </c>
      <c r="R867" s="25">
        <v>689.58321826280621</v>
      </c>
      <c r="S867" s="6" t="s">
        <v>41</v>
      </c>
      <c r="T867" s="6">
        <v>1105</v>
      </c>
      <c r="U867" s="13" t="s">
        <v>42</v>
      </c>
      <c r="V867" s="43" t="s">
        <v>43</v>
      </c>
      <c r="W867" s="10">
        <v>43318</v>
      </c>
      <c r="X867" s="10">
        <v>43358</v>
      </c>
      <c r="Y867" s="6" t="s">
        <v>429</v>
      </c>
      <c r="Z867" s="6" t="s">
        <v>290</v>
      </c>
      <c r="AA867" s="6" t="s">
        <v>73</v>
      </c>
      <c r="AB867" s="21" t="s">
        <v>2864</v>
      </c>
      <c r="AC867" s="6" t="s">
        <v>2438</v>
      </c>
      <c r="AD867" s="26"/>
    </row>
    <row r="868" spans="1:30" ht="69.95" customHeight="1">
      <c r="A868" s="16"/>
      <c r="B868" s="6">
        <v>2018</v>
      </c>
      <c r="C868" s="6" t="s">
        <v>62</v>
      </c>
      <c r="D868" s="6" t="s">
        <v>1670</v>
      </c>
      <c r="E868" s="10">
        <v>43318</v>
      </c>
      <c r="F868" s="6" t="s">
        <v>2131</v>
      </c>
      <c r="G868" s="6" t="s">
        <v>3341</v>
      </c>
      <c r="H868" s="25">
        <v>588476.26</v>
      </c>
      <c r="I868" s="6" t="s">
        <v>773</v>
      </c>
      <c r="J868" s="6" t="s">
        <v>2132</v>
      </c>
      <c r="K868" s="6" t="s">
        <v>1701</v>
      </c>
      <c r="L868" s="6" t="s">
        <v>2082</v>
      </c>
      <c r="M868" s="6" t="s">
        <v>2133</v>
      </c>
      <c r="N868" s="6" t="s">
        <v>2134</v>
      </c>
      <c r="O868" s="25">
        <v>588476.26</v>
      </c>
      <c r="P868" s="11">
        <v>588476.27</v>
      </c>
      <c r="Q868" s="6" t="s">
        <v>1813</v>
      </c>
      <c r="R868" s="25">
        <v>1279.2962173913045</v>
      </c>
      <c r="S868" s="6" t="s">
        <v>41</v>
      </c>
      <c r="T868" s="6">
        <v>1893</v>
      </c>
      <c r="U868" s="13" t="s">
        <v>42</v>
      </c>
      <c r="V868" s="7" t="s">
        <v>43</v>
      </c>
      <c r="W868" s="10">
        <v>43318</v>
      </c>
      <c r="X868" s="10">
        <v>43342</v>
      </c>
      <c r="Y868" s="6" t="s">
        <v>552</v>
      </c>
      <c r="Z868" s="6" t="s">
        <v>1237</v>
      </c>
      <c r="AA868" s="6" t="s">
        <v>192</v>
      </c>
      <c r="AB868" s="21" t="s">
        <v>2429</v>
      </c>
      <c r="AC868" s="6" t="s">
        <v>2438</v>
      </c>
      <c r="AD868" s="26"/>
    </row>
    <row r="869" spans="1:30" ht="69.95" customHeight="1">
      <c r="A869" s="16"/>
      <c r="B869" s="6">
        <v>2018</v>
      </c>
      <c r="C869" s="6" t="s">
        <v>62</v>
      </c>
      <c r="D869" s="6" t="s">
        <v>1671</v>
      </c>
      <c r="E869" s="10">
        <v>43318</v>
      </c>
      <c r="F869" s="6" t="s">
        <v>2135</v>
      </c>
      <c r="G869" s="6" t="s">
        <v>3343</v>
      </c>
      <c r="H869" s="25">
        <v>40494.480000000003</v>
      </c>
      <c r="I869" s="6" t="s">
        <v>195</v>
      </c>
      <c r="J869" s="6" t="s">
        <v>2136</v>
      </c>
      <c r="K869" s="6" t="s">
        <v>2137</v>
      </c>
      <c r="L869" s="6" t="s">
        <v>1836</v>
      </c>
      <c r="M869" s="6" t="s">
        <v>2138</v>
      </c>
      <c r="N869" s="6" t="s">
        <v>2139</v>
      </c>
      <c r="O869" s="25">
        <v>40494.480000000003</v>
      </c>
      <c r="P869" s="11">
        <v>40494.47</v>
      </c>
      <c r="Q869" s="6" t="s">
        <v>1806</v>
      </c>
      <c r="R869" s="25">
        <v>404.94480000000004</v>
      </c>
      <c r="S869" s="6" t="s">
        <v>41</v>
      </c>
      <c r="T869" s="6">
        <v>1143</v>
      </c>
      <c r="U869" s="13" t="s">
        <v>42</v>
      </c>
      <c r="V869" s="43" t="s">
        <v>43</v>
      </c>
      <c r="W869" s="10">
        <v>43318</v>
      </c>
      <c r="X869" s="10">
        <v>43342</v>
      </c>
      <c r="Y869" s="6" t="s">
        <v>462</v>
      </c>
      <c r="Z869" s="6" t="s">
        <v>138</v>
      </c>
      <c r="AA869" s="6" t="s">
        <v>463</v>
      </c>
      <c r="AB869" s="21" t="s">
        <v>2863</v>
      </c>
      <c r="AC869" s="6" t="s">
        <v>2438</v>
      </c>
      <c r="AD869" s="26"/>
    </row>
    <row r="870" spans="1:30" ht="69.95" customHeight="1">
      <c r="A870" s="16"/>
      <c r="B870" s="6">
        <v>2018</v>
      </c>
      <c r="C870" s="6" t="s">
        <v>62</v>
      </c>
      <c r="D870" s="6" t="s">
        <v>1672</v>
      </c>
      <c r="E870" s="10">
        <v>43318</v>
      </c>
      <c r="F870" s="6" t="s">
        <v>2140</v>
      </c>
      <c r="G870" s="6" t="s">
        <v>3341</v>
      </c>
      <c r="H870" s="25">
        <v>336903.89</v>
      </c>
      <c r="I870" s="6" t="s">
        <v>308</v>
      </c>
      <c r="J870" s="6" t="s">
        <v>2141</v>
      </c>
      <c r="K870" s="6" t="s">
        <v>2142</v>
      </c>
      <c r="L870" s="6" t="s">
        <v>1836</v>
      </c>
      <c r="M870" s="6" t="s">
        <v>2143</v>
      </c>
      <c r="N870" s="6" t="s">
        <v>2144</v>
      </c>
      <c r="O870" s="25">
        <v>336903.89</v>
      </c>
      <c r="P870" s="11">
        <v>336268.45999999996</v>
      </c>
      <c r="Q870" s="6" t="s">
        <v>1814</v>
      </c>
      <c r="R870" s="25">
        <v>434.71469677419356</v>
      </c>
      <c r="S870" s="6" t="s">
        <v>41</v>
      </c>
      <c r="T870" s="6">
        <v>885</v>
      </c>
      <c r="U870" s="13" t="s">
        <v>42</v>
      </c>
      <c r="V870" s="43" t="s">
        <v>43</v>
      </c>
      <c r="W870" s="10">
        <v>43318</v>
      </c>
      <c r="X870" s="10">
        <v>43342</v>
      </c>
      <c r="Y870" s="6" t="s">
        <v>742</v>
      </c>
      <c r="Z870" s="6" t="s">
        <v>282</v>
      </c>
      <c r="AA870" s="6" t="s">
        <v>89</v>
      </c>
      <c r="AB870" s="21" t="s">
        <v>2862</v>
      </c>
      <c r="AC870" s="6" t="s">
        <v>2438</v>
      </c>
      <c r="AD870" s="26"/>
    </row>
    <row r="871" spans="1:30" ht="69.95" customHeight="1">
      <c r="A871" s="16"/>
      <c r="B871" s="6">
        <v>2018</v>
      </c>
      <c r="C871" s="6" t="s">
        <v>62</v>
      </c>
      <c r="D871" s="6" t="s">
        <v>1673</v>
      </c>
      <c r="E871" s="10">
        <v>43326</v>
      </c>
      <c r="F871" s="6" t="s">
        <v>2145</v>
      </c>
      <c r="G871" s="6" t="s">
        <v>3341</v>
      </c>
      <c r="H871" s="25">
        <v>690321.75</v>
      </c>
      <c r="I871" s="6" t="s">
        <v>1815</v>
      </c>
      <c r="J871" s="6" t="s">
        <v>2086</v>
      </c>
      <c r="K871" s="6" t="s">
        <v>2087</v>
      </c>
      <c r="L871" s="6" t="s">
        <v>2088</v>
      </c>
      <c r="M871" s="6" t="s">
        <v>2089</v>
      </c>
      <c r="N871" s="6" t="s">
        <v>2090</v>
      </c>
      <c r="O871" s="25">
        <v>690321.75</v>
      </c>
      <c r="P871" s="11">
        <v>407419.64</v>
      </c>
      <c r="Q871" s="6" t="s">
        <v>1816</v>
      </c>
      <c r="R871" s="25">
        <v>1643.6232142857143</v>
      </c>
      <c r="S871" s="6" t="s">
        <v>41</v>
      </c>
      <c r="T871" s="6">
        <v>4052</v>
      </c>
      <c r="U871" s="13" t="s">
        <v>42</v>
      </c>
      <c r="V871" s="43" t="s">
        <v>43</v>
      </c>
      <c r="W871" s="10">
        <v>43327</v>
      </c>
      <c r="X871" s="10">
        <v>43358</v>
      </c>
      <c r="Y871" s="6" t="s">
        <v>808</v>
      </c>
      <c r="Z871" s="6" t="s">
        <v>809</v>
      </c>
      <c r="AA871" s="6" t="s">
        <v>94</v>
      </c>
      <c r="AB871" s="21" t="s">
        <v>2861</v>
      </c>
      <c r="AC871" s="6" t="s">
        <v>2438</v>
      </c>
      <c r="AD871" s="26"/>
    </row>
    <row r="872" spans="1:30" ht="69.95" customHeight="1">
      <c r="A872" s="16"/>
      <c r="B872" s="6">
        <v>2018</v>
      </c>
      <c r="C872" s="6" t="s">
        <v>62</v>
      </c>
      <c r="D872" s="6" t="s">
        <v>1674</v>
      </c>
      <c r="E872" s="10">
        <v>43326</v>
      </c>
      <c r="F872" s="6" t="s">
        <v>2146</v>
      </c>
      <c r="G872" s="6" t="s">
        <v>63</v>
      </c>
      <c r="H872" s="25">
        <v>1020254.87</v>
      </c>
      <c r="I872" s="6" t="s">
        <v>244</v>
      </c>
      <c r="J872" s="6" t="s">
        <v>1866</v>
      </c>
      <c r="K872" s="6" t="s">
        <v>1867</v>
      </c>
      <c r="L872" s="6" t="s">
        <v>1868</v>
      </c>
      <c r="M872" s="6" t="s">
        <v>1869</v>
      </c>
      <c r="N872" s="6" t="s">
        <v>1870</v>
      </c>
      <c r="O872" s="25">
        <v>1020254.87</v>
      </c>
      <c r="P872" s="11">
        <v>1020254.32</v>
      </c>
      <c r="Q872" s="6" t="s">
        <v>1799</v>
      </c>
      <c r="R872" s="25">
        <v>102025.48699999999</v>
      </c>
      <c r="S872" s="6" t="s">
        <v>41</v>
      </c>
      <c r="T872" s="6">
        <v>2259</v>
      </c>
      <c r="U872" s="13" t="s">
        <v>42</v>
      </c>
      <c r="V872" s="7" t="s">
        <v>43</v>
      </c>
      <c r="W872" s="10">
        <v>43327</v>
      </c>
      <c r="X872" s="10">
        <v>43358</v>
      </c>
      <c r="Y872" s="6" t="s">
        <v>1261</v>
      </c>
      <c r="Z872" s="6" t="s">
        <v>73</v>
      </c>
      <c r="AA872" s="6" t="s">
        <v>1160</v>
      </c>
      <c r="AB872" s="21" t="s">
        <v>2860</v>
      </c>
      <c r="AC872" s="6" t="s">
        <v>2438</v>
      </c>
      <c r="AD872" s="26"/>
    </row>
    <row r="873" spans="1:30" ht="69.95" customHeight="1">
      <c r="A873" s="16"/>
      <c r="B873" s="6">
        <v>2018</v>
      </c>
      <c r="C873" s="6" t="s">
        <v>62</v>
      </c>
      <c r="D873" s="6" t="s">
        <v>1675</v>
      </c>
      <c r="E873" s="10">
        <v>43326</v>
      </c>
      <c r="F873" s="32" t="s">
        <v>2147</v>
      </c>
      <c r="G873" s="6" t="s">
        <v>3341</v>
      </c>
      <c r="H873" s="25">
        <v>445091.16</v>
      </c>
      <c r="I873" s="6" t="s">
        <v>1817</v>
      </c>
      <c r="J873" s="6" t="s">
        <v>2148</v>
      </c>
      <c r="K873" s="6" t="s">
        <v>2149</v>
      </c>
      <c r="L873" s="6" t="s">
        <v>1934</v>
      </c>
      <c r="M873" s="6" t="s">
        <v>2150</v>
      </c>
      <c r="N873" s="6" t="s">
        <v>2151</v>
      </c>
      <c r="O873" s="25">
        <v>445091.16</v>
      </c>
      <c r="P873" s="11">
        <v>445089.97000000003</v>
      </c>
      <c r="Q873" s="6" t="s">
        <v>1818</v>
      </c>
      <c r="R873" s="25">
        <v>274.91733168622608</v>
      </c>
      <c r="S873" s="6" t="s">
        <v>41</v>
      </c>
      <c r="T873" s="6">
        <v>3775</v>
      </c>
      <c r="U873" s="13" t="s">
        <v>42</v>
      </c>
      <c r="V873" s="7" t="s">
        <v>43</v>
      </c>
      <c r="W873" s="10">
        <v>43327</v>
      </c>
      <c r="X873" s="10">
        <v>43358</v>
      </c>
      <c r="Y873" s="6" t="s">
        <v>429</v>
      </c>
      <c r="Z873" s="6" t="s">
        <v>290</v>
      </c>
      <c r="AA873" s="6" t="s">
        <v>73</v>
      </c>
      <c r="AB873" s="21" t="s">
        <v>2859</v>
      </c>
      <c r="AC873" s="6" t="s">
        <v>2438</v>
      </c>
      <c r="AD873" s="26"/>
    </row>
    <row r="874" spans="1:30" ht="69.95" customHeight="1">
      <c r="A874" s="16"/>
      <c r="B874" s="6">
        <v>2018</v>
      </c>
      <c r="C874" s="6" t="s">
        <v>62</v>
      </c>
      <c r="D874" s="6" t="s">
        <v>1676</v>
      </c>
      <c r="E874" s="10">
        <v>43326</v>
      </c>
      <c r="F874" s="32" t="s">
        <v>2152</v>
      </c>
      <c r="G874" s="6" t="s">
        <v>63</v>
      </c>
      <c r="H874" s="25">
        <v>1773202.94</v>
      </c>
      <c r="I874" s="6" t="s">
        <v>1819</v>
      </c>
      <c r="J874" s="6" t="s">
        <v>2153</v>
      </c>
      <c r="K874" s="6" t="s">
        <v>2154</v>
      </c>
      <c r="L874" s="6" t="s">
        <v>2155</v>
      </c>
      <c r="M874" s="6" t="s">
        <v>2156</v>
      </c>
      <c r="N874" s="6" t="s">
        <v>2157</v>
      </c>
      <c r="O874" s="25">
        <v>1773202.94</v>
      </c>
      <c r="P874" s="11">
        <v>1770071.73</v>
      </c>
      <c r="Q874" s="6" t="s">
        <v>1820</v>
      </c>
      <c r="R874" s="25">
        <v>44.043788872329856</v>
      </c>
      <c r="S874" s="6" t="s">
        <v>41</v>
      </c>
      <c r="T874" s="6">
        <v>3775</v>
      </c>
      <c r="U874" s="13" t="s">
        <v>42</v>
      </c>
      <c r="V874" s="7" t="s">
        <v>43</v>
      </c>
      <c r="W874" s="10">
        <v>43327</v>
      </c>
      <c r="X874" s="10">
        <v>43358</v>
      </c>
      <c r="Y874" s="6" t="s">
        <v>429</v>
      </c>
      <c r="Z874" s="6" t="s">
        <v>290</v>
      </c>
      <c r="AA874" s="6" t="s">
        <v>73</v>
      </c>
      <c r="AB874" s="21" t="s">
        <v>2858</v>
      </c>
      <c r="AC874" s="6" t="s">
        <v>2438</v>
      </c>
      <c r="AD874" s="26"/>
    </row>
    <row r="875" spans="1:30" ht="69.95" customHeight="1">
      <c r="A875" s="16"/>
      <c r="B875" s="6">
        <v>2018</v>
      </c>
      <c r="C875" s="6" t="s">
        <v>62</v>
      </c>
      <c r="D875" s="6" t="s">
        <v>1677</v>
      </c>
      <c r="E875" s="10">
        <v>43326</v>
      </c>
      <c r="F875" s="6" t="s">
        <v>2158</v>
      </c>
      <c r="G875" s="6" t="s">
        <v>3341</v>
      </c>
      <c r="H875" s="25">
        <v>819749.53</v>
      </c>
      <c r="I875" s="6" t="s">
        <v>308</v>
      </c>
      <c r="J875" s="6" t="s">
        <v>2076</v>
      </c>
      <c r="K875" s="6" t="s">
        <v>2077</v>
      </c>
      <c r="L875" s="6" t="s">
        <v>1856</v>
      </c>
      <c r="M875" s="6" t="s">
        <v>2078</v>
      </c>
      <c r="N875" s="6" t="s">
        <v>2079</v>
      </c>
      <c r="O875" s="25">
        <v>819749.53</v>
      </c>
      <c r="P875" s="11">
        <v>648841.66</v>
      </c>
      <c r="Q875" s="6" t="s">
        <v>1821</v>
      </c>
      <c r="R875" s="25">
        <v>4479.5056284153006</v>
      </c>
      <c r="S875" s="6" t="s">
        <v>41</v>
      </c>
      <c r="T875" s="6">
        <v>1085</v>
      </c>
      <c r="U875" s="13" t="s">
        <v>42</v>
      </c>
      <c r="V875" s="7" t="s">
        <v>43</v>
      </c>
      <c r="W875" s="10">
        <v>43327</v>
      </c>
      <c r="X875" s="10">
        <v>43358</v>
      </c>
      <c r="Y875" s="6" t="s">
        <v>345</v>
      </c>
      <c r="Z875" s="6" t="s">
        <v>938</v>
      </c>
      <c r="AA875" s="6" t="s">
        <v>939</v>
      </c>
      <c r="AB875" s="21" t="s">
        <v>2857</v>
      </c>
      <c r="AC875" s="6" t="s">
        <v>2438</v>
      </c>
      <c r="AD875" s="26"/>
    </row>
    <row r="876" spans="1:30" ht="69.95" customHeight="1">
      <c r="A876" s="16"/>
      <c r="B876" s="6">
        <v>2018</v>
      </c>
      <c r="C876" s="6" t="s">
        <v>31</v>
      </c>
      <c r="D876" s="6" t="s">
        <v>2159</v>
      </c>
      <c r="E876" s="10">
        <v>43434</v>
      </c>
      <c r="F876" s="32" t="s">
        <v>2178</v>
      </c>
      <c r="G876" s="6" t="s">
        <v>3344</v>
      </c>
      <c r="H876" s="25">
        <v>5458232.1600000001</v>
      </c>
      <c r="I876" s="6" t="s">
        <v>2202</v>
      </c>
      <c r="J876" s="6" t="s">
        <v>2203</v>
      </c>
      <c r="K876" s="6" t="s">
        <v>1935</v>
      </c>
      <c r="L876" s="6" t="s">
        <v>1964</v>
      </c>
      <c r="M876" s="6" t="s">
        <v>2204</v>
      </c>
      <c r="N876" s="6" t="s">
        <v>315</v>
      </c>
      <c r="O876" s="25">
        <v>4366585.7300000004</v>
      </c>
      <c r="P876" s="11">
        <v>5458232.1600000001</v>
      </c>
      <c r="Q876" s="6" t="s">
        <v>857</v>
      </c>
      <c r="R876" s="25">
        <v>2564.0550381679391</v>
      </c>
      <c r="S876" s="6" t="s">
        <v>41</v>
      </c>
      <c r="T876" s="6">
        <v>3775</v>
      </c>
      <c r="U876" s="13" t="s">
        <v>42</v>
      </c>
      <c r="V876" s="6" t="s">
        <v>43</v>
      </c>
      <c r="W876" s="10">
        <v>43435</v>
      </c>
      <c r="X876" s="10">
        <v>43465</v>
      </c>
      <c r="Y876" s="6" t="s">
        <v>360</v>
      </c>
      <c r="Z876" s="6" t="s">
        <v>260</v>
      </c>
      <c r="AA876" s="6" t="s">
        <v>362</v>
      </c>
      <c r="AB876" s="21" t="s">
        <v>2510</v>
      </c>
      <c r="AC876" s="6" t="s">
        <v>2438</v>
      </c>
      <c r="AD876" s="26"/>
    </row>
    <row r="877" spans="1:30" ht="69.95" customHeight="1">
      <c r="A877" s="16"/>
      <c r="B877" s="6">
        <v>2018</v>
      </c>
      <c r="C877" s="6" t="s">
        <v>31</v>
      </c>
      <c r="D877" s="6" t="s">
        <v>2160</v>
      </c>
      <c r="E877" s="10">
        <v>43434</v>
      </c>
      <c r="F877" s="32" t="s">
        <v>2179</v>
      </c>
      <c r="G877" s="6" t="s">
        <v>3344</v>
      </c>
      <c r="H877" s="25">
        <v>6476222.3399999999</v>
      </c>
      <c r="I877" s="6" t="s">
        <v>1742</v>
      </c>
      <c r="J877" s="6" t="s">
        <v>2076</v>
      </c>
      <c r="K877" s="6" t="s">
        <v>2077</v>
      </c>
      <c r="L877" s="6" t="s">
        <v>1856</v>
      </c>
      <c r="M877" s="6" t="s">
        <v>2205</v>
      </c>
      <c r="N877" s="6" t="s">
        <v>2206</v>
      </c>
      <c r="O877" s="25">
        <v>5180977.87</v>
      </c>
      <c r="P877" s="11">
        <v>6476222.3399999999</v>
      </c>
      <c r="Q877" s="6" t="s">
        <v>857</v>
      </c>
      <c r="R877" s="25">
        <v>3042.2653376394596</v>
      </c>
      <c r="S877" s="6" t="s">
        <v>41</v>
      </c>
      <c r="T877" s="6">
        <v>3775</v>
      </c>
      <c r="U877" s="13" t="s">
        <v>42</v>
      </c>
      <c r="V877" s="6" t="s">
        <v>43</v>
      </c>
      <c r="W877" s="10">
        <v>43435</v>
      </c>
      <c r="X877" s="10">
        <v>43465</v>
      </c>
      <c r="Y877" s="6" t="s">
        <v>2172</v>
      </c>
      <c r="Z877" s="6" t="s">
        <v>2173</v>
      </c>
      <c r="AA877" s="6" t="s">
        <v>2174</v>
      </c>
      <c r="AB877" s="21" t="s">
        <v>2290</v>
      </c>
      <c r="AC877" s="6" t="s">
        <v>2438</v>
      </c>
      <c r="AD877" s="26"/>
    </row>
    <row r="878" spans="1:30" ht="69.95" customHeight="1">
      <c r="A878" s="16"/>
      <c r="B878" s="6">
        <v>2018</v>
      </c>
      <c r="C878" s="6" t="s">
        <v>31</v>
      </c>
      <c r="D878" s="6" t="s">
        <v>2161</v>
      </c>
      <c r="E878" s="10">
        <v>43434</v>
      </c>
      <c r="F878" s="32" t="s">
        <v>2180</v>
      </c>
      <c r="G878" s="6" t="s">
        <v>3344</v>
      </c>
      <c r="H878" s="25">
        <v>6185770.0499999998</v>
      </c>
      <c r="I878" s="6" t="s">
        <v>2207</v>
      </c>
      <c r="J878" s="6" t="s">
        <v>2081</v>
      </c>
      <c r="K878" s="6" t="s">
        <v>1701</v>
      </c>
      <c r="L878" s="6" t="s">
        <v>2082</v>
      </c>
      <c r="M878" s="6" t="s">
        <v>2083</v>
      </c>
      <c r="N878" s="6" t="s">
        <v>178</v>
      </c>
      <c r="O878" s="25">
        <v>4948616.04</v>
      </c>
      <c r="P878" s="11">
        <v>6185770.0499999998</v>
      </c>
      <c r="Q878" s="6" t="s">
        <v>857</v>
      </c>
      <c r="R878" s="25">
        <v>2905.8226893716969</v>
      </c>
      <c r="S878" s="6" t="s">
        <v>41</v>
      </c>
      <c r="T878" s="6">
        <v>3775</v>
      </c>
      <c r="U878" s="13" t="s">
        <v>42</v>
      </c>
      <c r="V878" s="6" t="s">
        <v>43</v>
      </c>
      <c r="W878" s="10">
        <v>43435</v>
      </c>
      <c r="X878" s="10">
        <v>43465</v>
      </c>
      <c r="Y878" s="6" t="s">
        <v>2175</v>
      </c>
      <c r="Z878" s="6" t="s">
        <v>144</v>
      </c>
      <c r="AA878" s="6" t="s">
        <v>103</v>
      </c>
      <c r="AB878" s="21" t="s">
        <v>2856</v>
      </c>
      <c r="AC878" s="6" t="s">
        <v>2438</v>
      </c>
      <c r="AD878" s="26"/>
    </row>
    <row r="879" spans="1:30" ht="69.95" customHeight="1">
      <c r="A879" s="16"/>
      <c r="B879" s="6">
        <v>2018</v>
      </c>
      <c r="C879" s="6" t="s">
        <v>31</v>
      </c>
      <c r="D879" s="6" t="s">
        <v>2162</v>
      </c>
      <c r="E879" s="10">
        <v>43434</v>
      </c>
      <c r="F879" s="32" t="s">
        <v>2181</v>
      </c>
      <c r="G879" s="6" t="s">
        <v>3345</v>
      </c>
      <c r="H879" s="25">
        <v>9844455</v>
      </c>
      <c r="I879" s="6" t="s">
        <v>2208</v>
      </c>
      <c r="J879" s="6" t="s">
        <v>1840</v>
      </c>
      <c r="K879" s="6" t="s">
        <v>1841</v>
      </c>
      <c r="L879" s="6" t="s">
        <v>1842</v>
      </c>
      <c r="M879" s="6" t="s">
        <v>1843</v>
      </c>
      <c r="N879" s="6" t="s">
        <v>1844</v>
      </c>
      <c r="O879" s="25">
        <v>7910677.8499999996</v>
      </c>
      <c r="P879" s="11">
        <v>9844455</v>
      </c>
      <c r="Q879" s="6" t="s">
        <v>857</v>
      </c>
      <c r="R879" s="25">
        <v>4645.1426012918373</v>
      </c>
      <c r="S879" s="6" t="s">
        <v>41</v>
      </c>
      <c r="T879" s="6">
        <v>1893</v>
      </c>
      <c r="U879" s="13" t="s">
        <v>42</v>
      </c>
      <c r="V879" s="6" t="s">
        <v>43</v>
      </c>
      <c r="W879" s="10">
        <v>43435</v>
      </c>
      <c r="X879" s="10">
        <v>43465</v>
      </c>
      <c r="Y879" s="6" t="s">
        <v>718</v>
      </c>
      <c r="Z879" s="6" t="s">
        <v>1794</v>
      </c>
      <c r="AA879" s="6" t="s">
        <v>116</v>
      </c>
      <c r="AB879" s="21" t="s">
        <v>2511</v>
      </c>
      <c r="AC879" s="6" t="s">
        <v>2438</v>
      </c>
      <c r="AD879" s="26"/>
    </row>
    <row r="880" spans="1:30" ht="69.95" customHeight="1">
      <c r="A880" s="16"/>
      <c r="B880" s="6">
        <v>2018</v>
      </c>
      <c r="C880" s="6" t="s">
        <v>31</v>
      </c>
      <c r="D880" s="6" t="s">
        <v>2163</v>
      </c>
      <c r="E880" s="10">
        <v>43434</v>
      </c>
      <c r="F880" s="32" t="s">
        <v>2182</v>
      </c>
      <c r="G880" s="6" t="s">
        <v>3345</v>
      </c>
      <c r="H880" s="25">
        <v>8833965</v>
      </c>
      <c r="I880" s="6" t="s">
        <v>553</v>
      </c>
      <c r="J880" s="6" t="s">
        <v>1973</v>
      </c>
      <c r="K880" s="6" t="s">
        <v>1964</v>
      </c>
      <c r="L880" s="6" t="s">
        <v>1974</v>
      </c>
      <c r="M880" s="6" t="s">
        <v>1975</v>
      </c>
      <c r="N880" s="6" t="s">
        <v>1976</v>
      </c>
      <c r="O880" s="25">
        <v>7393669.1699999999</v>
      </c>
      <c r="P880" s="11">
        <v>8833964.9900000002</v>
      </c>
      <c r="Q880" s="6" t="s">
        <v>857</v>
      </c>
      <c r="R880" s="25">
        <v>4341.5555901350554</v>
      </c>
      <c r="S880" s="6" t="s">
        <v>41</v>
      </c>
      <c r="T880" s="6">
        <v>1674</v>
      </c>
      <c r="U880" s="13" t="s">
        <v>42</v>
      </c>
      <c r="V880" s="6" t="s">
        <v>43</v>
      </c>
      <c r="W880" s="10">
        <v>43435</v>
      </c>
      <c r="X880" s="10">
        <v>43465</v>
      </c>
      <c r="Y880" s="6" t="s">
        <v>460</v>
      </c>
      <c r="Z880" s="6" t="s">
        <v>302</v>
      </c>
      <c r="AA880" s="6" t="s">
        <v>303</v>
      </c>
      <c r="AB880" s="21" t="s">
        <v>2813</v>
      </c>
      <c r="AC880" s="6" t="s">
        <v>2438</v>
      </c>
      <c r="AD880" s="26"/>
    </row>
    <row r="881" spans="1:30" ht="69.95" customHeight="1">
      <c r="A881" s="16"/>
      <c r="B881" s="6">
        <v>2018</v>
      </c>
      <c r="C881" s="6" t="s">
        <v>31</v>
      </c>
      <c r="D881" s="6" t="s">
        <v>2164</v>
      </c>
      <c r="E881" s="10">
        <v>43434</v>
      </c>
      <c r="F881" s="32" t="s">
        <v>2183</v>
      </c>
      <c r="G881" s="6" t="s">
        <v>3345</v>
      </c>
      <c r="H881" s="25">
        <v>8224726</v>
      </c>
      <c r="I881" s="6" t="s">
        <v>553</v>
      </c>
      <c r="J881" s="6" t="s">
        <v>1866</v>
      </c>
      <c r="K881" s="6" t="s">
        <v>1867</v>
      </c>
      <c r="L881" s="6" t="s">
        <v>1868</v>
      </c>
      <c r="M881" s="6" t="s">
        <v>1869</v>
      </c>
      <c r="N881" s="6" t="s">
        <v>1870</v>
      </c>
      <c r="O881" s="25">
        <v>7025613.9500000002</v>
      </c>
      <c r="P881" s="11">
        <v>8224725.9900000002</v>
      </c>
      <c r="Q881" s="6" t="s">
        <v>857</v>
      </c>
      <c r="R881" s="25">
        <v>4125.4339107457427</v>
      </c>
      <c r="S881" s="6" t="s">
        <v>41</v>
      </c>
      <c r="T881" s="6">
        <v>1674</v>
      </c>
      <c r="U881" s="13" t="s">
        <v>42</v>
      </c>
      <c r="V881" s="6" t="s">
        <v>43</v>
      </c>
      <c r="W881" s="10">
        <v>43435</v>
      </c>
      <c r="X881" s="10">
        <v>43465</v>
      </c>
      <c r="Y881" s="6" t="s">
        <v>460</v>
      </c>
      <c r="Z881" s="6" t="s">
        <v>302</v>
      </c>
      <c r="AA881" s="6" t="s">
        <v>303</v>
      </c>
      <c r="AB881" s="21" t="s">
        <v>2512</v>
      </c>
      <c r="AC881" s="6" t="s">
        <v>2438</v>
      </c>
      <c r="AD881" s="26"/>
    </row>
    <row r="882" spans="1:30" ht="69.95" customHeight="1">
      <c r="A882" s="16"/>
      <c r="B882" s="6">
        <v>2018</v>
      </c>
      <c r="C882" s="6" t="s">
        <v>62</v>
      </c>
      <c r="D882" s="40" t="s">
        <v>3305</v>
      </c>
      <c r="E882" s="10">
        <v>43434</v>
      </c>
      <c r="F882" s="6" t="s">
        <v>2184</v>
      </c>
      <c r="G882" s="6" t="s">
        <v>63</v>
      </c>
      <c r="H882" s="25">
        <v>635263.25</v>
      </c>
      <c r="I882" s="6" t="s">
        <v>2539</v>
      </c>
      <c r="J882" s="6" t="s">
        <v>2209</v>
      </c>
      <c r="K882" s="6" t="s">
        <v>2210</v>
      </c>
      <c r="L882" s="6" t="s">
        <v>2211</v>
      </c>
      <c r="M882" s="6" t="s">
        <v>2212</v>
      </c>
      <c r="N882" s="6" t="s">
        <v>2213</v>
      </c>
      <c r="O882" s="25">
        <v>635263.25</v>
      </c>
      <c r="P882" s="11">
        <v>635263.22</v>
      </c>
      <c r="Q882" s="6" t="s">
        <v>120</v>
      </c>
      <c r="R882" s="25">
        <v>373.02598355842633</v>
      </c>
      <c r="S882" s="6" t="s">
        <v>41</v>
      </c>
      <c r="T882" s="6">
        <v>4052</v>
      </c>
      <c r="U882" s="13" t="s">
        <v>42</v>
      </c>
      <c r="V882" s="7" t="s">
        <v>43</v>
      </c>
      <c r="W882" s="10">
        <v>43405</v>
      </c>
      <c r="X882" s="10">
        <v>43465</v>
      </c>
      <c r="Y882" s="6" t="s">
        <v>693</v>
      </c>
      <c r="Z882" s="6" t="s">
        <v>290</v>
      </c>
      <c r="AA882" s="6" t="s">
        <v>73</v>
      </c>
      <c r="AB882" s="21" t="s">
        <v>3293</v>
      </c>
      <c r="AC882" s="6" t="s">
        <v>2438</v>
      </c>
      <c r="AD882" s="26"/>
    </row>
    <row r="883" spans="1:30" ht="69.95" customHeight="1">
      <c r="A883" s="16"/>
      <c r="B883" s="6">
        <v>2018</v>
      </c>
      <c r="C883" s="6" t="s">
        <v>139</v>
      </c>
      <c r="D883" s="6" t="s">
        <v>2227</v>
      </c>
      <c r="E883" s="10">
        <v>43441</v>
      </c>
      <c r="F883" s="32" t="s">
        <v>2234</v>
      </c>
      <c r="G883" s="6" t="s">
        <v>3339</v>
      </c>
      <c r="H883" s="25">
        <v>10700065.890000001</v>
      </c>
      <c r="I883" s="6" t="s">
        <v>1049</v>
      </c>
      <c r="J883" s="6" t="s">
        <v>2235</v>
      </c>
      <c r="K883" s="6" t="s">
        <v>2236</v>
      </c>
      <c r="L883" s="6" t="s">
        <v>2237</v>
      </c>
      <c r="M883" s="6" t="s">
        <v>2238</v>
      </c>
      <c r="N883" s="6" t="s">
        <v>2239</v>
      </c>
      <c r="O883" s="25">
        <v>8211025.3300000001</v>
      </c>
      <c r="P883" s="11">
        <v>10228807.27</v>
      </c>
      <c r="Q883" s="6" t="s">
        <v>2231</v>
      </c>
      <c r="R883" s="25">
        <v>10200.031465838509</v>
      </c>
      <c r="S883" s="6" t="s">
        <v>41</v>
      </c>
      <c r="T883" s="6">
        <v>10350</v>
      </c>
      <c r="U883" s="13" t="s">
        <v>42</v>
      </c>
      <c r="V883" s="43" t="s">
        <v>43</v>
      </c>
      <c r="W883" s="10">
        <v>43441</v>
      </c>
      <c r="X883" s="10">
        <v>43488</v>
      </c>
      <c r="Y883" s="6" t="s">
        <v>859</v>
      </c>
      <c r="Z883" s="6" t="s">
        <v>860</v>
      </c>
      <c r="AA883" s="6" t="s">
        <v>861</v>
      </c>
      <c r="AB883" s="21" t="s">
        <v>2855</v>
      </c>
      <c r="AC883" s="6" t="s">
        <v>2438</v>
      </c>
      <c r="AD883" s="26"/>
    </row>
    <row r="884" spans="1:30" ht="69.95" customHeight="1">
      <c r="A884" s="16"/>
      <c r="B884" s="6">
        <v>2018</v>
      </c>
      <c r="C884" s="6" t="s">
        <v>139</v>
      </c>
      <c r="D884" s="6" t="s">
        <v>2228</v>
      </c>
      <c r="E884" s="10">
        <v>43441</v>
      </c>
      <c r="F884" s="6" t="s">
        <v>2240</v>
      </c>
      <c r="G884" s="6" t="s">
        <v>3334</v>
      </c>
      <c r="H884" s="25">
        <v>3591378.61</v>
      </c>
      <c r="I884" s="6" t="s">
        <v>1735</v>
      </c>
      <c r="J884" s="6" t="s">
        <v>2241</v>
      </c>
      <c r="K884" s="6" t="s">
        <v>2242</v>
      </c>
      <c r="L884" s="6" t="s">
        <v>1974</v>
      </c>
      <c r="M884" s="6" t="s">
        <v>2243</v>
      </c>
      <c r="N884" s="6" t="s">
        <v>2244</v>
      </c>
      <c r="O884" s="25">
        <v>3591378.61</v>
      </c>
      <c r="P884" s="11">
        <v>3591378.61</v>
      </c>
      <c r="Q884" s="6" t="s">
        <v>2231</v>
      </c>
      <c r="R884" s="25">
        <v>4461.3398881987578</v>
      </c>
      <c r="S884" s="6" t="s">
        <v>41</v>
      </c>
      <c r="T884" s="6">
        <v>10350</v>
      </c>
      <c r="U884" s="13" t="s">
        <v>42</v>
      </c>
      <c r="V884" s="6" t="s">
        <v>43</v>
      </c>
      <c r="W884" s="10">
        <v>43441</v>
      </c>
      <c r="X884" s="10">
        <v>43465</v>
      </c>
      <c r="Y884" s="6" t="s">
        <v>345</v>
      </c>
      <c r="Z884" s="6" t="s">
        <v>346</v>
      </c>
      <c r="AA884" s="6" t="s">
        <v>347</v>
      </c>
      <c r="AB884" s="21" t="s">
        <v>2513</v>
      </c>
      <c r="AC884" s="6" t="s">
        <v>2438</v>
      </c>
      <c r="AD884" s="26"/>
    </row>
    <row r="885" spans="1:30" ht="69.95" customHeight="1">
      <c r="A885" s="16"/>
      <c r="B885" s="6">
        <v>2018</v>
      </c>
      <c r="C885" s="6" t="s">
        <v>139</v>
      </c>
      <c r="D885" s="6" t="s">
        <v>2229</v>
      </c>
      <c r="E885" s="10">
        <v>43441</v>
      </c>
      <c r="F885" s="6" t="s">
        <v>2245</v>
      </c>
      <c r="G885" s="6" t="s">
        <v>3334</v>
      </c>
      <c r="H885" s="25">
        <v>2497558.87</v>
      </c>
      <c r="I885" s="6" t="s">
        <v>2537</v>
      </c>
      <c r="J885" s="6" t="s">
        <v>1956</v>
      </c>
      <c r="K885" s="6" t="s">
        <v>2246</v>
      </c>
      <c r="L885" s="6" t="s">
        <v>2247</v>
      </c>
      <c r="M885" s="6" t="s">
        <v>2248</v>
      </c>
      <c r="N885" s="6" t="s">
        <v>2249</v>
      </c>
      <c r="O885" s="25">
        <v>2497558.87</v>
      </c>
      <c r="P885" s="11">
        <v>2497558.87</v>
      </c>
      <c r="Q885" s="6" t="s">
        <v>2232</v>
      </c>
      <c r="R885" s="25">
        <v>2485.1332039800996</v>
      </c>
      <c r="S885" s="6" t="s">
        <v>41</v>
      </c>
      <c r="T885" s="6">
        <v>10350</v>
      </c>
      <c r="U885" s="13" t="s">
        <v>42</v>
      </c>
      <c r="V885" s="6" t="s">
        <v>43</v>
      </c>
      <c r="W885" s="10">
        <v>43441</v>
      </c>
      <c r="X885" s="10">
        <v>43465</v>
      </c>
      <c r="Y885" s="6" t="s">
        <v>691</v>
      </c>
      <c r="Z885" s="6" t="s">
        <v>715</v>
      </c>
      <c r="AA885" s="6" t="s">
        <v>311</v>
      </c>
      <c r="AB885" s="21" t="s">
        <v>2517</v>
      </c>
      <c r="AC885" s="6" t="s">
        <v>2438</v>
      </c>
      <c r="AD885" s="26"/>
    </row>
    <row r="886" spans="1:30" ht="69.95" customHeight="1">
      <c r="A886" s="16"/>
      <c r="B886" s="6">
        <v>2018</v>
      </c>
      <c r="C886" s="6" t="s">
        <v>139</v>
      </c>
      <c r="D886" s="6" t="s">
        <v>2230</v>
      </c>
      <c r="E886" s="10">
        <v>43441</v>
      </c>
      <c r="F886" s="6" t="s">
        <v>2250</v>
      </c>
      <c r="G886" s="6" t="s">
        <v>3334</v>
      </c>
      <c r="H886" s="25">
        <v>3668511.4</v>
      </c>
      <c r="I886" s="6" t="s">
        <v>390</v>
      </c>
      <c r="J886" s="6" t="s">
        <v>1866</v>
      </c>
      <c r="K886" s="6" t="s">
        <v>1867</v>
      </c>
      <c r="L886" s="6" t="s">
        <v>1868</v>
      </c>
      <c r="M886" s="6" t="s">
        <v>1869</v>
      </c>
      <c r="N886" s="6" t="s">
        <v>1870</v>
      </c>
      <c r="O886" s="25">
        <v>3668511.4</v>
      </c>
      <c r="P886" s="11">
        <v>3668511.4</v>
      </c>
      <c r="Q886" s="6" t="s">
        <v>2233</v>
      </c>
      <c r="R886" s="25">
        <v>5643.863692307692</v>
      </c>
      <c r="S886" s="6" t="s">
        <v>41</v>
      </c>
      <c r="T886" s="6">
        <v>10350</v>
      </c>
      <c r="U886" s="13" t="s">
        <v>42</v>
      </c>
      <c r="V886" s="6" t="s">
        <v>43</v>
      </c>
      <c r="W886" s="10">
        <v>43441</v>
      </c>
      <c r="X886" s="10">
        <v>43465</v>
      </c>
      <c r="Y886" s="6" t="s">
        <v>753</v>
      </c>
      <c r="Z886" s="6" t="s">
        <v>754</v>
      </c>
      <c r="AA886" s="6" t="s">
        <v>755</v>
      </c>
      <c r="AB886" s="21" t="s">
        <v>2514</v>
      </c>
      <c r="AC886" s="6" t="s">
        <v>2438</v>
      </c>
      <c r="AD886" s="26"/>
    </row>
    <row r="887" spans="1:30" ht="69.95" customHeight="1">
      <c r="A887" s="16"/>
      <c r="B887" s="6">
        <v>2018</v>
      </c>
      <c r="C887" s="6" t="s">
        <v>62</v>
      </c>
      <c r="D887" s="40" t="s">
        <v>3306</v>
      </c>
      <c r="E887" s="10">
        <v>43434</v>
      </c>
      <c r="F887" s="6" t="s">
        <v>2189</v>
      </c>
      <c r="G887" s="6" t="s">
        <v>63</v>
      </c>
      <c r="H887" s="25">
        <v>788752.75</v>
      </c>
      <c r="I887" s="31" t="s">
        <v>2538</v>
      </c>
      <c r="J887" s="6" t="s">
        <v>1712</v>
      </c>
      <c r="K887" s="6" t="s">
        <v>1912</v>
      </c>
      <c r="L887" s="6" t="s">
        <v>1913</v>
      </c>
      <c r="M887" s="6" t="s">
        <v>1914</v>
      </c>
      <c r="N887" s="6" t="s">
        <v>1915</v>
      </c>
      <c r="O887" s="25">
        <v>788752.75</v>
      </c>
      <c r="P887" s="11">
        <v>788752.74</v>
      </c>
      <c r="Q887" s="6" t="s">
        <v>120</v>
      </c>
      <c r="R887" s="25">
        <v>4310.1243169398904</v>
      </c>
      <c r="S887" s="6" t="s">
        <v>41</v>
      </c>
      <c r="T887" s="6">
        <v>4052</v>
      </c>
      <c r="U887" s="13" t="s">
        <v>42</v>
      </c>
      <c r="V887" s="7" t="s">
        <v>43</v>
      </c>
      <c r="W887" s="10">
        <v>43405</v>
      </c>
      <c r="X887" s="10">
        <v>43465</v>
      </c>
      <c r="Y887" s="6" t="s">
        <v>693</v>
      </c>
      <c r="Z887" s="6" t="s">
        <v>290</v>
      </c>
      <c r="AA887" s="6" t="s">
        <v>73</v>
      </c>
      <c r="AB887" s="21" t="s">
        <v>3294</v>
      </c>
      <c r="AC887" s="6" t="s">
        <v>2438</v>
      </c>
      <c r="AD887" s="26"/>
    </row>
    <row r="888" spans="1:30" ht="69.95" customHeight="1">
      <c r="A888" s="16"/>
      <c r="B888" s="6">
        <v>2018</v>
      </c>
      <c r="C888" s="6" t="s">
        <v>62</v>
      </c>
      <c r="D888" s="6" t="s">
        <v>2165</v>
      </c>
      <c r="E888" s="10">
        <v>43418</v>
      </c>
      <c r="F888" s="6" t="s">
        <v>2190</v>
      </c>
      <c r="G888" s="6" t="s">
        <v>63</v>
      </c>
      <c r="H888" s="25">
        <v>1399287.57</v>
      </c>
      <c r="I888" s="6" t="s">
        <v>677</v>
      </c>
      <c r="J888" s="6" t="s">
        <v>2214</v>
      </c>
      <c r="K888" s="6" t="s">
        <v>2215</v>
      </c>
      <c r="L888" s="6" t="s">
        <v>1591</v>
      </c>
      <c r="M888" s="6" t="s">
        <v>2216</v>
      </c>
      <c r="N888" s="6" t="s">
        <v>2217</v>
      </c>
      <c r="O888" s="25">
        <v>1399287.57</v>
      </c>
      <c r="P888" s="11">
        <v>1260964.42</v>
      </c>
      <c r="Q888" s="6" t="s">
        <v>2543</v>
      </c>
      <c r="R888" s="25">
        <v>7646.3801639344265</v>
      </c>
      <c r="S888" s="6" t="s">
        <v>41</v>
      </c>
      <c r="T888" s="6">
        <v>110</v>
      </c>
      <c r="U888" s="13" t="s">
        <v>42</v>
      </c>
      <c r="V888" s="7" t="s">
        <v>43</v>
      </c>
      <c r="W888" s="10">
        <v>43419</v>
      </c>
      <c r="X888" s="10">
        <v>43465</v>
      </c>
      <c r="Y888" s="6" t="s">
        <v>603</v>
      </c>
      <c r="Z888" s="6" t="s">
        <v>1171</v>
      </c>
      <c r="AA888" s="6" t="s">
        <v>605</v>
      </c>
      <c r="AB888" s="21" t="s">
        <v>2430</v>
      </c>
      <c r="AC888" s="6" t="s">
        <v>2438</v>
      </c>
      <c r="AD888" s="26"/>
    </row>
    <row r="889" spans="1:30" ht="69.95" customHeight="1">
      <c r="A889" s="16"/>
      <c r="B889" s="6">
        <v>2018</v>
      </c>
      <c r="C889" s="6" t="s">
        <v>62</v>
      </c>
      <c r="D889" s="6" t="s">
        <v>2166</v>
      </c>
      <c r="E889" s="10">
        <v>43418</v>
      </c>
      <c r="F889" s="6" t="s">
        <v>2192</v>
      </c>
      <c r="G889" s="6" t="s">
        <v>63</v>
      </c>
      <c r="H889" s="25">
        <v>398756.23</v>
      </c>
      <c r="I889" s="6" t="s">
        <v>2198</v>
      </c>
      <c r="J889" s="6" t="s">
        <v>2218</v>
      </c>
      <c r="K889" s="6" t="s">
        <v>2219</v>
      </c>
      <c r="L889" s="6" t="s">
        <v>1707</v>
      </c>
      <c r="M889" s="6" t="s">
        <v>2220</v>
      </c>
      <c r="N889" s="6" t="s">
        <v>2221</v>
      </c>
      <c r="O889" s="25">
        <v>398756.23</v>
      </c>
      <c r="P889" s="11">
        <v>398756.23</v>
      </c>
      <c r="Q889" s="6" t="s">
        <v>2544</v>
      </c>
      <c r="R889" s="25">
        <v>2178.9957923497268</v>
      </c>
      <c r="S889" s="6" t="s">
        <v>41</v>
      </c>
      <c r="T889" s="6">
        <v>140</v>
      </c>
      <c r="U889" s="13" t="s">
        <v>42</v>
      </c>
      <c r="V889" s="7" t="s">
        <v>43</v>
      </c>
      <c r="W889" s="10">
        <v>43419</v>
      </c>
      <c r="X889" s="10">
        <v>43465</v>
      </c>
      <c r="Y889" s="6" t="s">
        <v>2176</v>
      </c>
      <c r="Z889" s="6" t="s">
        <v>2177</v>
      </c>
      <c r="AA889" s="6" t="s">
        <v>443</v>
      </c>
      <c r="AB889" s="21" t="s">
        <v>2431</v>
      </c>
      <c r="AC889" s="6" t="s">
        <v>2438</v>
      </c>
      <c r="AD889" s="26"/>
    </row>
    <row r="890" spans="1:30" ht="69.95" customHeight="1">
      <c r="A890" s="16"/>
      <c r="B890" s="6">
        <v>2018</v>
      </c>
      <c r="C890" s="6" t="s">
        <v>62</v>
      </c>
      <c r="D890" s="6" t="s">
        <v>2167</v>
      </c>
      <c r="E890" s="10">
        <v>43418</v>
      </c>
      <c r="F890" s="6" t="s">
        <v>2193</v>
      </c>
      <c r="G890" s="6" t="s">
        <v>63</v>
      </c>
      <c r="H890" s="25">
        <v>616261.81999999995</v>
      </c>
      <c r="I890" s="6" t="s">
        <v>2199</v>
      </c>
      <c r="J890" s="6" t="s">
        <v>2222</v>
      </c>
      <c r="K890" s="6" t="s">
        <v>2223</v>
      </c>
      <c r="L890" s="6" t="s">
        <v>2224</v>
      </c>
      <c r="M890" s="6" t="s">
        <v>2225</v>
      </c>
      <c r="N890" s="6" t="s">
        <v>2226</v>
      </c>
      <c r="O890" s="25">
        <v>616261.81999999995</v>
      </c>
      <c r="P890" s="11">
        <v>616261.82000000007</v>
      </c>
      <c r="Q890" s="6" t="s">
        <v>2545</v>
      </c>
      <c r="R890" s="25">
        <v>3367.5509289617485</v>
      </c>
      <c r="S890" s="6" t="s">
        <v>41</v>
      </c>
      <c r="T890" s="6">
        <v>150</v>
      </c>
      <c r="U890" s="13" t="s">
        <v>42</v>
      </c>
      <c r="V890" s="7" t="s">
        <v>43</v>
      </c>
      <c r="W890" s="10">
        <v>43419</v>
      </c>
      <c r="X890" s="10">
        <v>43465</v>
      </c>
      <c r="Y890" s="6" t="s">
        <v>2176</v>
      </c>
      <c r="Z890" s="6" t="s">
        <v>2177</v>
      </c>
      <c r="AA890" s="6" t="s">
        <v>443</v>
      </c>
      <c r="AB890" s="21" t="s">
        <v>2432</v>
      </c>
      <c r="AC890" s="6" t="s">
        <v>2438</v>
      </c>
      <c r="AD890" s="26"/>
    </row>
    <row r="891" spans="1:30" ht="69.95" customHeight="1">
      <c r="A891" s="16"/>
      <c r="B891" s="6">
        <v>2018</v>
      </c>
      <c r="C891" s="6" t="s">
        <v>62</v>
      </c>
      <c r="D891" s="6" t="s">
        <v>2168</v>
      </c>
      <c r="E891" s="10">
        <v>43418</v>
      </c>
      <c r="F891" s="6" t="s">
        <v>2194</v>
      </c>
      <c r="G891" s="6" t="s">
        <v>63</v>
      </c>
      <c r="H891" s="25">
        <v>547963.22</v>
      </c>
      <c r="I891" s="6" t="s">
        <v>2200</v>
      </c>
      <c r="J891" s="6" t="s">
        <v>2185</v>
      </c>
      <c r="K891" s="6" t="s">
        <v>1862</v>
      </c>
      <c r="L891" s="6" t="s">
        <v>2186</v>
      </c>
      <c r="M891" s="6" t="s">
        <v>2187</v>
      </c>
      <c r="N891" s="6" t="s">
        <v>2188</v>
      </c>
      <c r="O891" s="25">
        <v>547963.22</v>
      </c>
      <c r="P891" s="11">
        <v>547963.22</v>
      </c>
      <c r="Q891" s="6" t="s">
        <v>2546</v>
      </c>
      <c r="R891" s="25">
        <v>2994.3345355191254</v>
      </c>
      <c r="S891" s="6" t="s">
        <v>41</v>
      </c>
      <c r="T891" s="6">
        <v>145</v>
      </c>
      <c r="U891" s="13" t="s">
        <v>42</v>
      </c>
      <c r="V891" s="7" t="s">
        <v>43</v>
      </c>
      <c r="W891" s="10">
        <v>43419</v>
      </c>
      <c r="X891" s="10">
        <v>43465</v>
      </c>
      <c r="Y891" s="6" t="s">
        <v>345</v>
      </c>
      <c r="Z891" s="6" t="s">
        <v>938</v>
      </c>
      <c r="AA891" s="6" t="s">
        <v>939</v>
      </c>
      <c r="AB891" s="21" t="s">
        <v>2433</v>
      </c>
      <c r="AC891" s="6" t="s">
        <v>2438</v>
      </c>
      <c r="AD891" s="26"/>
    </row>
    <row r="892" spans="1:30" ht="69.95" customHeight="1">
      <c r="A892" s="16"/>
      <c r="B892" s="6">
        <v>2018</v>
      </c>
      <c r="C892" s="6" t="s">
        <v>62</v>
      </c>
      <c r="D892" s="6" t="s">
        <v>2169</v>
      </c>
      <c r="E892" s="10">
        <v>43418</v>
      </c>
      <c r="F892" s="6" t="s">
        <v>2195</v>
      </c>
      <c r="G892" s="6" t="s">
        <v>63</v>
      </c>
      <c r="H892" s="25">
        <v>1798269.75</v>
      </c>
      <c r="I892" s="6" t="s">
        <v>2201</v>
      </c>
      <c r="J892" s="6" t="s">
        <v>1589</v>
      </c>
      <c r="K892" s="6" t="s">
        <v>1590</v>
      </c>
      <c r="L892" s="6" t="s">
        <v>1591</v>
      </c>
      <c r="M892" s="6" t="s">
        <v>1592</v>
      </c>
      <c r="N892" s="6" t="s">
        <v>1593</v>
      </c>
      <c r="O892" s="25">
        <v>1798269.75</v>
      </c>
      <c r="P892" s="11">
        <v>1798269.75</v>
      </c>
      <c r="Q892" s="6" t="s">
        <v>2547</v>
      </c>
      <c r="R892" s="25">
        <v>9826.6106557377043</v>
      </c>
      <c r="S892" s="6" t="s">
        <v>41</v>
      </c>
      <c r="T892" s="6">
        <v>250</v>
      </c>
      <c r="U892" s="13" t="s">
        <v>42</v>
      </c>
      <c r="V892" s="7" t="s">
        <v>43</v>
      </c>
      <c r="W892" s="10">
        <v>43419</v>
      </c>
      <c r="X892" s="10">
        <v>43465</v>
      </c>
      <c r="Y892" s="6" t="s">
        <v>2176</v>
      </c>
      <c r="Z892" s="6" t="s">
        <v>2177</v>
      </c>
      <c r="AA892" s="6" t="s">
        <v>443</v>
      </c>
      <c r="AB892" s="21" t="s">
        <v>2434</v>
      </c>
      <c r="AC892" s="6" t="s">
        <v>2438</v>
      </c>
      <c r="AD892" s="26"/>
    </row>
    <row r="893" spans="1:30" ht="69.95" customHeight="1">
      <c r="A893" s="16"/>
      <c r="B893" s="6">
        <v>2018</v>
      </c>
      <c r="C893" s="6" t="s">
        <v>62</v>
      </c>
      <c r="D893" s="6" t="s">
        <v>2170</v>
      </c>
      <c r="E893" s="10">
        <v>43418</v>
      </c>
      <c r="F893" s="6" t="s">
        <v>2196</v>
      </c>
      <c r="G893" s="6" t="s">
        <v>63</v>
      </c>
      <c r="H893" s="25">
        <v>1587699.36</v>
      </c>
      <c r="I893" s="6" t="s">
        <v>2201</v>
      </c>
      <c r="J893" s="6" t="s">
        <v>2019</v>
      </c>
      <c r="K893" s="6" t="s">
        <v>1591</v>
      </c>
      <c r="L893" s="6" t="s">
        <v>2020</v>
      </c>
      <c r="M893" s="6" t="s">
        <v>2191</v>
      </c>
      <c r="N893" s="6" t="s">
        <v>2022</v>
      </c>
      <c r="O893" s="25">
        <v>1587699.36</v>
      </c>
      <c r="P893" s="11">
        <v>1587699.34</v>
      </c>
      <c r="Q893" s="6" t="s">
        <v>2548</v>
      </c>
      <c r="R893" s="25">
        <v>8675.9527868852456</v>
      </c>
      <c r="S893" s="6" t="s">
        <v>41</v>
      </c>
      <c r="T893" s="6">
        <v>250</v>
      </c>
      <c r="U893" s="13" t="s">
        <v>42</v>
      </c>
      <c r="V893" s="7" t="s">
        <v>43</v>
      </c>
      <c r="W893" s="10">
        <v>43419</v>
      </c>
      <c r="X893" s="10">
        <v>43465</v>
      </c>
      <c r="Y893" s="6" t="s">
        <v>2176</v>
      </c>
      <c r="Z893" s="6" t="s">
        <v>2177</v>
      </c>
      <c r="AA893" s="6" t="s">
        <v>443</v>
      </c>
      <c r="AB893" s="21" t="s">
        <v>2435</v>
      </c>
      <c r="AC893" s="6" t="s">
        <v>2438</v>
      </c>
      <c r="AD893" s="26"/>
    </row>
    <row r="894" spans="1:30" ht="69.95" customHeight="1">
      <c r="A894" s="16"/>
      <c r="B894" s="6">
        <v>2018</v>
      </c>
      <c r="C894" s="6" t="s">
        <v>62</v>
      </c>
      <c r="D894" s="6" t="s">
        <v>2171</v>
      </c>
      <c r="E894" s="10">
        <v>43418</v>
      </c>
      <c r="F894" s="6" t="s">
        <v>2197</v>
      </c>
      <c r="G894" s="6" t="s">
        <v>63</v>
      </c>
      <c r="H894" s="25">
        <v>1407584.38</v>
      </c>
      <c r="I894" s="6" t="s">
        <v>2201</v>
      </c>
      <c r="J894" s="6" t="s">
        <v>1823</v>
      </c>
      <c r="K894" s="6" t="s">
        <v>1917</v>
      </c>
      <c r="L894" s="6" t="s">
        <v>1918</v>
      </c>
      <c r="M894" s="6" t="s">
        <v>1919</v>
      </c>
      <c r="N894" s="6" t="s">
        <v>1920</v>
      </c>
      <c r="O894" s="25">
        <v>1407584.38</v>
      </c>
      <c r="P894" s="11">
        <v>1407584.3800000001</v>
      </c>
      <c r="Q894" s="6" t="s">
        <v>2549</v>
      </c>
      <c r="R894" s="25">
        <v>7691.7179234972673</v>
      </c>
      <c r="S894" s="6" t="s">
        <v>41</v>
      </c>
      <c r="T894" s="6">
        <v>250</v>
      </c>
      <c r="U894" s="13" t="s">
        <v>42</v>
      </c>
      <c r="V894" s="7" t="s">
        <v>43</v>
      </c>
      <c r="W894" s="10">
        <v>43419</v>
      </c>
      <c r="X894" s="10">
        <v>43465</v>
      </c>
      <c r="Y894" s="6" t="s">
        <v>2176</v>
      </c>
      <c r="Z894" s="6" t="s">
        <v>2177</v>
      </c>
      <c r="AA894" s="6" t="s">
        <v>443</v>
      </c>
      <c r="AB894" s="21" t="s">
        <v>2436</v>
      </c>
      <c r="AC894" s="6" t="s">
        <v>2438</v>
      </c>
      <c r="AD894" s="26"/>
    </row>
    <row r="895" spans="1:30" ht="69.95" customHeight="1">
      <c r="A895" s="16"/>
      <c r="B895" s="6">
        <v>2018</v>
      </c>
      <c r="C895" s="6" t="s">
        <v>62</v>
      </c>
      <c r="D895" s="6" t="s">
        <v>2251</v>
      </c>
      <c r="E895" s="23">
        <v>43388</v>
      </c>
      <c r="F895" s="6" t="s">
        <v>2257</v>
      </c>
      <c r="G895" s="6" t="s">
        <v>63</v>
      </c>
      <c r="H895" s="25">
        <v>2366174.4699999997</v>
      </c>
      <c r="I895" s="6" t="s">
        <v>700</v>
      </c>
      <c r="J895" s="6" t="s">
        <v>2258</v>
      </c>
      <c r="K895" s="6" t="s">
        <v>2259</v>
      </c>
      <c r="L895" s="6" t="s">
        <v>1902</v>
      </c>
      <c r="M895" s="6" t="s">
        <v>2260</v>
      </c>
      <c r="N895" s="6" t="s">
        <v>2261</v>
      </c>
      <c r="O895" s="27">
        <v>1854462.19</v>
      </c>
      <c r="P895" s="11">
        <v>2366174.4699999997</v>
      </c>
      <c r="Q895" s="6" t="s">
        <v>2255</v>
      </c>
      <c r="R895" s="27">
        <v>1283.3648373702422</v>
      </c>
      <c r="S895" s="6" t="s">
        <v>119</v>
      </c>
      <c r="T895" s="6">
        <v>5000</v>
      </c>
      <c r="U895" s="13" t="s">
        <v>42</v>
      </c>
      <c r="V895" s="43" t="s">
        <v>43</v>
      </c>
      <c r="W895" s="23">
        <v>43388</v>
      </c>
      <c r="X895" s="23">
        <v>43434</v>
      </c>
      <c r="Y895" s="6" t="s">
        <v>811</v>
      </c>
      <c r="Z895" s="6" t="s">
        <v>812</v>
      </c>
      <c r="AA895" s="6" t="s">
        <v>1186</v>
      </c>
      <c r="AB895" s="21" t="s">
        <v>2854</v>
      </c>
      <c r="AC895" s="6" t="s">
        <v>2438</v>
      </c>
      <c r="AD895" s="6"/>
    </row>
    <row r="896" spans="1:30" ht="69.95" customHeight="1">
      <c r="A896" s="16"/>
      <c r="B896" s="6">
        <v>2018</v>
      </c>
      <c r="C896" s="6" t="s">
        <v>62</v>
      </c>
      <c r="D896" s="6" t="s">
        <v>2252</v>
      </c>
      <c r="E896" s="23">
        <v>43388</v>
      </c>
      <c r="F896" s="6" t="s">
        <v>2262</v>
      </c>
      <c r="G896" s="6" t="s">
        <v>63</v>
      </c>
      <c r="H896" s="25">
        <v>2455862.9500000002</v>
      </c>
      <c r="I896" s="6" t="s">
        <v>700</v>
      </c>
      <c r="J896" s="6" t="s">
        <v>2263</v>
      </c>
      <c r="K896" s="6" t="s">
        <v>2264</v>
      </c>
      <c r="L896" s="6" t="s">
        <v>2265</v>
      </c>
      <c r="M896" s="6" t="s">
        <v>2266</v>
      </c>
      <c r="N896" s="6" t="s">
        <v>2267</v>
      </c>
      <c r="O896" s="27">
        <v>1847996.1</v>
      </c>
      <c r="P896" s="11">
        <v>2455862.9500000002</v>
      </c>
      <c r="Q896" s="6" t="s">
        <v>746</v>
      </c>
      <c r="R896" s="27">
        <v>7391.9844000000003</v>
      </c>
      <c r="S896" s="6" t="s">
        <v>119</v>
      </c>
      <c r="T896" s="6">
        <v>5000</v>
      </c>
      <c r="U896" s="13" t="s">
        <v>42</v>
      </c>
      <c r="V896" s="43" t="s">
        <v>43</v>
      </c>
      <c r="W896" s="23">
        <v>43388</v>
      </c>
      <c r="X896" s="23">
        <v>43434</v>
      </c>
      <c r="Y896" s="6" t="s">
        <v>811</v>
      </c>
      <c r="Z896" s="6" t="s">
        <v>812</v>
      </c>
      <c r="AA896" s="6" t="s">
        <v>1186</v>
      </c>
      <c r="AB896" s="21" t="s">
        <v>2853</v>
      </c>
      <c r="AC896" s="6" t="s">
        <v>2438</v>
      </c>
      <c r="AD896" s="6"/>
    </row>
    <row r="897" spans="1:30" ht="69.95" customHeight="1">
      <c r="A897" s="16"/>
      <c r="B897" s="6">
        <v>2018</v>
      </c>
      <c r="C897" s="6" t="s">
        <v>62</v>
      </c>
      <c r="D897" s="6" t="s">
        <v>2253</v>
      </c>
      <c r="E897" s="23">
        <v>43388</v>
      </c>
      <c r="F897" s="6" t="s">
        <v>2268</v>
      </c>
      <c r="G897" s="6" t="s">
        <v>63</v>
      </c>
      <c r="H897" s="25">
        <v>1469846.71</v>
      </c>
      <c r="I897" s="6" t="s">
        <v>700</v>
      </c>
      <c r="J897" s="6" t="s">
        <v>1823</v>
      </c>
      <c r="K897" s="6" t="s">
        <v>2269</v>
      </c>
      <c r="L897" s="6" t="s">
        <v>2073</v>
      </c>
      <c r="M897" s="6" t="s">
        <v>2270</v>
      </c>
      <c r="N897" s="6" t="s">
        <v>2271</v>
      </c>
      <c r="O897" s="27">
        <v>1469846.71</v>
      </c>
      <c r="P897" s="11">
        <v>1469795.5999999999</v>
      </c>
      <c r="Q897" s="6" t="s">
        <v>2256</v>
      </c>
      <c r="R897" s="27">
        <v>7349.2335499999999</v>
      </c>
      <c r="S897" s="6" t="s">
        <v>119</v>
      </c>
      <c r="T897" s="6">
        <v>5000</v>
      </c>
      <c r="U897" s="13" t="s">
        <v>42</v>
      </c>
      <c r="V897" s="43" t="s">
        <v>43</v>
      </c>
      <c r="W897" s="23">
        <v>43388</v>
      </c>
      <c r="X897" s="23">
        <v>43434</v>
      </c>
      <c r="Y897" s="6" t="s">
        <v>811</v>
      </c>
      <c r="Z897" s="6" t="s">
        <v>812</v>
      </c>
      <c r="AA897" s="6" t="s">
        <v>1186</v>
      </c>
      <c r="AB897" s="21" t="s">
        <v>2852</v>
      </c>
      <c r="AC897" s="6" t="s">
        <v>2438</v>
      </c>
      <c r="AD897" s="6"/>
    </row>
    <row r="898" spans="1:30" ht="69.95" customHeight="1">
      <c r="A898" s="16"/>
      <c r="B898" s="6">
        <v>2018</v>
      </c>
      <c r="C898" s="6" t="s">
        <v>62</v>
      </c>
      <c r="D898" s="6" t="s">
        <v>2254</v>
      </c>
      <c r="E898" s="23">
        <v>43388</v>
      </c>
      <c r="F898" s="6" t="s">
        <v>2272</v>
      </c>
      <c r="G898" s="37" t="s">
        <v>63</v>
      </c>
      <c r="H898" s="41">
        <v>1774994.54</v>
      </c>
      <c r="I898" s="6" t="s">
        <v>700</v>
      </c>
      <c r="J898" s="6" t="s">
        <v>1956</v>
      </c>
      <c r="K898" s="6" t="s">
        <v>2246</v>
      </c>
      <c r="L898" s="6" t="s">
        <v>2247</v>
      </c>
      <c r="M898" s="6" t="s">
        <v>2248</v>
      </c>
      <c r="N898" s="6" t="s">
        <v>2249</v>
      </c>
      <c r="O898" s="27">
        <v>1774994.54</v>
      </c>
      <c r="P898" s="11">
        <v>1774994.55</v>
      </c>
      <c r="Q898" s="6">
        <v>230</v>
      </c>
      <c r="R898" s="27">
        <v>7717.3675652173915</v>
      </c>
      <c r="S898" s="6" t="s">
        <v>119</v>
      </c>
      <c r="T898" s="6">
        <v>5000</v>
      </c>
      <c r="U898" s="13" t="s">
        <v>42</v>
      </c>
      <c r="V898" s="43" t="s">
        <v>43</v>
      </c>
      <c r="W898" s="23">
        <v>43388</v>
      </c>
      <c r="X898" s="23">
        <v>43434</v>
      </c>
      <c r="Y898" s="6" t="s">
        <v>811</v>
      </c>
      <c r="Z898" s="6" t="s">
        <v>812</v>
      </c>
      <c r="AA898" s="6" t="s">
        <v>1186</v>
      </c>
      <c r="AB898" s="21" t="s">
        <v>2851</v>
      </c>
      <c r="AC898" s="6" t="s">
        <v>2438</v>
      </c>
      <c r="AD898" s="6"/>
    </row>
  </sheetData>
  <mergeCells count="26">
    <mergeCell ref="A4:A5"/>
    <mergeCell ref="R4:R5"/>
    <mergeCell ref="B4:B5"/>
    <mergeCell ref="C4:C5"/>
    <mergeCell ref="D4:D5"/>
    <mergeCell ref="E4:E5"/>
    <mergeCell ref="F4:F5"/>
    <mergeCell ref="G4:G5"/>
    <mergeCell ref="H4:H5"/>
    <mergeCell ref="I4:I5"/>
    <mergeCell ref="J4:N4"/>
    <mergeCell ref="O4:O5"/>
    <mergeCell ref="P4:P5"/>
    <mergeCell ref="Q4:Q5"/>
    <mergeCell ref="B1:AD1"/>
    <mergeCell ref="B2:AD2"/>
    <mergeCell ref="B3:AD3"/>
    <mergeCell ref="AB4:AB5"/>
    <mergeCell ref="AD4:AD5"/>
    <mergeCell ref="S4:S5"/>
    <mergeCell ref="T4:T5"/>
    <mergeCell ref="U4:U5"/>
    <mergeCell ref="V4:V5"/>
    <mergeCell ref="W4:X4"/>
    <mergeCell ref="Y4:AA4"/>
    <mergeCell ref="AC4:AC5"/>
  </mergeCells>
  <hyperlinks>
    <hyperlink ref="AC28" r:id="rId1" xr:uid="{00000000-0004-0000-0000-000000000000}"/>
    <hyperlink ref="AC44" r:id="rId2" xr:uid="{00000000-0004-0000-0000-000001000000}"/>
    <hyperlink ref="AC23" r:id="rId3" xr:uid="{00000000-0004-0000-0000-000002000000}"/>
    <hyperlink ref="AC34" r:id="rId4" xr:uid="{00000000-0004-0000-0000-000003000000}"/>
    <hyperlink ref="AC36" r:id="rId5" xr:uid="{00000000-0004-0000-0000-000004000000}"/>
    <hyperlink ref="AB894" r:id="rId6" xr:uid="{00000000-0004-0000-0000-000005000000}"/>
    <hyperlink ref="AB893" r:id="rId7" xr:uid="{00000000-0004-0000-0000-000006000000}"/>
    <hyperlink ref="AB892" r:id="rId8" xr:uid="{00000000-0004-0000-0000-000007000000}"/>
    <hyperlink ref="AB891" r:id="rId9" xr:uid="{00000000-0004-0000-0000-000008000000}"/>
    <hyperlink ref="AB890" r:id="rId10" xr:uid="{00000000-0004-0000-0000-000009000000}"/>
    <hyperlink ref="AB889" r:id="rId11" xr:uid="{00000000-0004-0000-0000-00000A000000}"/>
    <hyperlink ref="AB888" r:id="rId12" xr:uid="{00000000-0004-0000-0000-00000B000000}"/>
    <hyperlink ref="AB868" r:id="rId13" xr:uid="{00000000-0004-0000-0000-00000C000000}"/>
    <hyperlink ref="AB864" r:id="rId14" xr:uid="{00000000-0004-0000-0000-00000D000000}"/>
    <hyperlink ref="AB859" r:id="rId15" xr:uid="{00000000-0004-0000-0000-00000E000000}"/>
    <hyperlink ref="AB858" r:id="rId16" xr:uid="{00000000-0004-0000-0000-00000F000000}"/>
    <hyperlink ref="AB857" r:id="rId17" xr:uid="{00000000-0004-0000-0000-000010000000}"/>
    <hyperlink ref="AB856" r:id="rId18" xr:uid="{00000000-0004-0000-0000-000011000000}"/>
    <hyperlink ref="AB852" r:id="rId19" xr:uid="{00000000-0004-0000-0000-000012000000}"/>
    <hyperlink ref="AB851" r:id="rId20" xr:uid="{00000000-0004-0000-0000-000013000000}"/>
    <hyperlink ref="AB846" r:id="rId21" xr:uid="{00000000-0004-0000-0000-000014000000}"/>
    <hyperlink ref="AB844" r:id="rId22" xr:uid="{00000000-0004-0000-0000-000015000000}"/>
    <hyperlink ref="AB843" r:id="rId23" xr:uid="{00000000-0004-0000-0000-000016000000}"/>
    <hyperlink ref="AB842" r:id="rId24" xr:uid="{00000000-0004-0000-0000-000017000000}"/>
    <hyperlink ref="AB841" r:id="rId25" xr:uid="{00000000-0004-0000-0000-000018000000}"/>
    <hyperlink ref="AB839" r:id="rId26" xr:uid="{00000000-0004-0000-0000-000019000000}"/>
    <hyperlink ref="AB820" r:id="rId27" xr:uid="{00000000-0004-0000-0000-00001A000000}"/>
    <hyperlink ref="AB819" r:id="rId28" xr:uid="{00000000-0004-0000-0000-00001B000000}"/>
    <hyperlink ref="AB818" r:id="rId29" xr:uid="{00000000-0004-0000-0000-00001C000000}"/>
    <hyperlink ref="AB817" r:id="rId30" xr:uid="{00000000-0004-0000-0000-00001D000000}"/>
    <hyperlink ref="AB816" r:id="rId31" xr:uid="{00000000-0004-0000-0000-00001E000000}"/>
    <hyperlink ref="AB813" r:id="rId32" xr:uid="{00000000-0004-0000-0000-00001F000000}"/>
    <hyperlink ref="AB812" r:id="rId33" xr:uid="{00000000-0004-0000-0000-000020000000}"/>
    <hyperlink ref="AB811" r:id="rId34" xr:uid="{00000000-0004-0000-0000-000021000000}"/>
    <hyperlink ref="AB800" r:id="rId35" xr:uid="{00000000-0004-0000-0000-000022000000}"/>
    <hyperlink ref="AB799" r:id="rId36" xr:uid="{00000000-0004-0000-0000-000023000000}"/>
    <hyperlink ref="AB798" r:id="rId37" xr:uid="{00000000-0004-0000-0000-000024000000}"/>
    <hyperlink ref="AB797" r:id="rId38" xr:uid="{00000000-0004-0000-0000-000025000000}"/>
    <hyperlink ref="AB796" r:id="rId39" xr:uid="{00000000-0004-0000-0000-000026000000}"/>
    <hyperlink ref="AB794" r:id="rId40" xr:uid="{00000000-0004-0000-0000-000027000000}"/>
    <hyperlink ref="AB793" r:id="rId41" xr:uid="{00000000-0004-0000-0000-000028000000}"/>
    <hyperlink ref="AB792" r:id="rId42" xr:uid="{00000000-0004-0000-0000-000029000000}"/>
    <hyperlink ref="AB791" r:id="rId43" display="https://www.zapopan.gob.mx/repositorio/view/file/t99cmqwn58ubgp2jdbvm/CONTRATO 158-2018_Censurado.pdf" xr:uid="{00000000-0004-0000-0000-00002A000000}"/>
    <hyperlink ref="AB789" r:id="rId44" xr:uid="{00000000-0004-0000-0000-00002B000000}"/>
    <hyperlink ref="AB788" r:id="rId45" xr:uid="{00000000-0004-0000-0000-00002C000000}"/>
    <hyperlink ref="AB787" r:id="rId46" xr:uid="{00000000-0004-0000-0000-00002D000000}"/>
    <hyperlink ref="AB786" r:id="rId47" xr:uid="{00000000-0004-0000-0000-00002E000000}"/>
    <hyperlink ref="AB785" r:id="rId48" xr:uid="{00000000-0004-0000-0000-00002F000000}"/>
    <hyperlink ref="AB784" r:id="rId49" xr:uid="{00000000-0004-0000-0000-000030000000}"/>
    <hyperlink ref="AB774" r:id="rId50" display="https://www.zapopan.gob.mx/repositorio/view/file/2gjv0nynxbirmdvdh7iy/CONTRATO 141-2018-CENSURADO.pdf" xr:uid="{00000000-0004-0000-0000-000031000000}"/>
    <hyperlink ref="AB773" r:id="rId51" xr:uid="{00000000-0004-0000-0000-000032000000}"/>
    <hyperlink ref="AB772" r:id="rId52" xr:uid="{00000000-0004-0000-0000-000033000000}"/>
    <hyperlink ref="AB771" r:id="rId53" xr:uid="{00000000-0004-0000-0000-000034000000}"/>
    <hyperlink ref="AB770" r:id="rId54" xr:uid="{00000000-0004-0000-0000-000035000000}"/>
    <hyperlink ref="AB769" r:id="rId55" xr:uid="{00000000-0004-0000-0000-000036000000}"/>
    <hyperlink ref="AB768" r:id="rId56" xr:uid="{00000000-0004-0000-0000-000037000000}"/>
    <hyperlink ref="AB767" r:id="rId57" xr:uid="{00000000-0004-0000-0000-000038000000}"/>
    <hyperlink ref="AB766" r:id="rId58" xr:uid="{00000000-0004-0000-0000-000039000000}"/>
    <hyperlink ref="AB765" r:id="rId59" xr:uid="{00000000-0004-0000-0000-00003A000000}"/>
    <hyperlink ref="AB764" r:id="rId60" xr:uid="{00000000-0004-0000-0000-00003B000000}"/>
    <hyperlink ref="AB763" r:id="rId61" xr:uid="{00000000-0004-0000-0000-00003C000000}"/>
    <hyperlink ref="AB762" r:id="rId62" xr:uid="{00000000-0004-0000-0000-00003D000000}"/>
    <hyperlink ref="AB761" r:id="rId63" xr:uid="{00000000-0004-0000-0000-00003E000000}"/>
    <hyperlink ref="AB759" r:id="rId64" xr:uid="{00000000-0004-0000-0000-00003F000000}"/>
    <hyperlink ref="AB758" r:id="rId65" xr:uid="{00000000-0004-0000-0000-000040000000}"/>
    <hyperlink ref="AB757" r:id="rId66" xr:uid="{00000000-0004-0000-0000-000041000000}"/>
    <hyperlink ref="AB756" r:id="rId67" xr:uid="{00000000-0004-0000-0000-000042000000}"/>
    <hyperlink ref="AB755" r:id="rId68" xr:uid="{00000000-0004-0000-0000-000043000000}"/>
    <hyperlink ref="AB754" r:id="rId69" xr:uid="{00000000-0004-0000-0000-000044000000}"/>
    <hyperlink ref="AB753" r:id="rId70" xr:uid="{00000000-0004-0000-0000-000045000000}"/>
    <hyperlink ref="AB752" r:id="rId71" xr:uid="{00000000-0004-0000-0000-000046000000}"/>
    <hyperlink ref="AB751" r:id="rId72" xr:uid="{00000000-0004-0000-0000-000047000000}"/>
    <hyperlink ref="AB750" r:id="rId73" xr:uid="{00000000-0004-0000-0000-000048000000}"/>
    <hyperlink ref="AB749" r:id="rId74" xr:uid="{00000000-0004-0000-0000-000049000000}"/>
    <hyperlink ref="AB748" r:id="rId75" xr:uid="{00000000-0004-0000-0000-00004A000000}"/>
    <hyperlink ref="AB747" r:id="rId76" xr:uid="{00000000-0004-0000-0000-00004B000000}"/>
    <hyperlink ref="AB746" r:id="rId77" xr:uid="{00000000-0004-0000-0000-00004C000000}"/>
    <hyperlink ref="AB745" r:id="rId78" xr:uid="{00000000-0004-0000-0000-00004D000000}"/>
    <hyperlink ref="AB744" r:id="rId79" xr:uid="{00000000-0004-0000-0000-00004E000000}"/>
    <hyperlink ref="AB743" r:id="rId80" xr:uid="{00000000-0004-0000-0000-00004F000000}"/>
    <hyperlink ref="AB742" r:id="rId81" xr:uid="{00000000-0004-0000-0000-000050000000}"/>
    <hyperlink ref="AB741" r:id="rId82" xr:uid="{00000000-0004-0000-0000-000051000000}"/>
    <hyperlink ref="AB740" r:id="rId83" xr:uid="{00000000-0004-0000-0000-000052000000}"/>
    <hyperlink ref="AB739" r:id="rId84" xr:uid="{00000000-0004-0000-0000-000053000000}"/>
    <hyperlink ref="AB658" r:id="rId85" xr:uid="{00000000-0004-0000-0000-000054000000}"/>
    <hyperlink ref="AB657" r:id="rId86" xr:uid="{00000000-0004-0000-0000-000055000000}"/>
    <hyperlink ref="AB656" r:id="rId87" xr:uid="{00000000-0004-0000-0000-000056000000}"/>
    <hyperlink ref="AB655" r:id="rId88" xr:uid="{00000000-0004-0000-0000-000057000000}"/>
    <hyperlink ref="AB654" r:id="rId89" xr:uid="{00000000-0004-0000-0000-000058000000}"/>
    <hyperlink ref="AB653" r:id="rId90" xr:uid="{00000000-0004-0000-0000-000059000000}"/>
    <hyperlink ref="AB652" r:id="rId91" xr:uid="{00000000-0004-0000-0000-00005A000000}"/>
    <hyperlink ref="AB651" r:id="rId92" xr:uid="{00000000-0004-0000-0000-00005B000000}"/>
    <hyperlink ref="AB650" r:id="rId93" xr:uid="{00000000-0004-0000-0000-00005C000000}"/>
    <hyperlink ref="AB649" r:id="rId94" xr:uid="{00000000-0004-0000-0000-00005D000000}"/>
    <hyperlink ref="AB648" r:id="rId95" xr:uid="{00000000-0004-0000-0000-00005E000000}"/>
    <hyperlink ref="AB647" r:id="rId96" xr:uid="{00000000-0004-0000-0000-00005F000000}"/>
    <hyperlink ref="AB646" r:id="rId97" xr:uid="{00000000-0004-0000-0000-000060000000}"/>
    <hyperlink ref="AB645" r:id="rId98" xr:uid="{00000000-0004-0000-0000-000061000000}"/>
    <hyperlink ref="AB644" r:id="rId99" xr:uid="{00000000-0004-0000-0000-000062000000}"/>
    <hyperlink ref="AB643" r:id="rId100" xr:uid="{00000000-0004-0000-0000-000063000000}"/>
    <hyperlink ref="AB642" r:id="rId101" xr:uid="{00000000-0004-0000-0000-000064000000}"/>
    <hyperlink ref="AB641" r:id="rId102" xr:uid="{00000000-0004-0000-0000-000065000000}"/>
    <hyperlink ref="AB640" r:id="rId103" xr:uid="{00000000-0004-0000-0000-000066000000}"/>
    <hyperlink ref="AB639" r:id="rId104" display="https://www.zapopan.gob.mx/repositorio/view/file/m5yfhdd5a8kmwba3jgtw/CONTRATO 002-2018_Censurado.pdf" xr:uid="{00000000-0004-0000-0000-000067000000}"/>
    <hyperlink ref="AB638" r:id="rId105" xr:uid="{00000000-0004-0000-0000-000068000000}"/>
    <hyperlink ref="AB604" r:id="rId106" xr:uid="{00000000-0004-0000-0000-000069000000}"/>
    <hyperlink ref="AB546" r:id="rId107" xr:uid="{00000000-0004-0000-0000-00006A000000}"/>
    <hyperlink ref="AB633" r:id="rId108" xr:uid="{00000000-0004-0000-0000-00006B000000}"/>
    <hyperlink ref="AB547" r:id="rId109" xr:uid="{00000000-0004-0000-0000-00006C000000}"/>
    <hyperlink ref="AB515" r:id="rId110" xr:uid="{00000000-0004-0000-0000-00006D000000}"/>
    <hyperlink ref="AB514" r:id="rId111" xr:uid="{00000000-0004-0000-0000-00006E000000}"/>
    <hyperlink ref="AB491" r:id="rId112" xr:uid="{00000000-0004-0000-0000-00006F000000}"/>
    <hyperlink ref="AB248" r:id="rId113" xr:uid="{00000000-0004-0000-0000-000070000000}"/>
    <hyperlink ref="AB243" r:id="rId114" xr:uid="{00000000-0004-0000-0000-000071000000}"/>
    <hyperlink ref="AB228" r:id="rId115" xr:uid="{00000000-0004-0000-0000-000072000000}"/>
    <hyperlink ref="AB225" r:id="rId116" xr:uid="{00000000-0004-0000-0000-000073000000}"/>
    <hyperlink ref="AB222" r:id="rId117" xr:uid="{00000000-0004-0000-0000-000074000000}"/>
    <hyperlink ref="AB218" r:id="rId118" xr:uid="{00000000-0004-0000-0000-000075000000}"/>
    <hyperlink ref="AB214" r:id="rId119" xr:uid="{00000000-0004-0000-0000-000076000000}"/>
    <hyperlink ref="AB212" r:id="rId120" xr:uid="{00000000-0004-0000-0000-000077000000}"/>
    <hyperlink ref="AB211" r:id="rId121" xr:uid="{00000000-0004-0000-0000-000078000000}"/>
    <hyperlink ref="AB169" r:id="rId122" xr:uid="{00000000-0004-0000-0000-000079000000}"/>
    <hyperlink ref="AB162" r:id="rId123" xr:uid="{00000000-0004-0000-0000-00007A000000}"/>
    <hyperlink ref="AB157" r:id="rId124" xr:uid="{00000000-0004-0000-0000-00007B000000}"/>
    <hyperlink ref="AB83" r:id="rId125" xr:uid="{00000000-0004-0000-0000-00007C000000}"/>
    <hyperlink ref="AB66" r:id="rId126" xr:uid="{00000000-0004-0000-0000-00007D000000}"/>
    <hyperlink ref="AB45" r:id="rId127" xr:uid="{00000000-0004-0000-0000-00007E000000}"/>
    <hyperlink ref="AB29" r:id="rId128" xr:uid="{00000000-0004-0000-0000-00007F000000}"/>
    <hyperlink ref="AB19" r:id="rId129" xr:uid="{00000000-0004-0000-0000-000080000000}"/>
    <hyperlink ref="AB270" r:id="rId130" xr:uid="{00000000-0004-0000-0000-000081000000}"/>
    <hyperlink ref="AB242" r:id="rId131" xr:uid="{00000000-0004-0000-0000-000082000000}"/>
    <hyperlink ref="AB241" r:id="rId132" xr:uid="{00000000-0004-0000-0000-000083000000}"/>
    <hyperlink ref="AB240" r:id="rId133" xr:uid="{00000000-0004-0000-0000-000084000000}"/>
    <hyperlink ref="AB239" r:id="rId134" xr:uid="{00000000-0004-0000-0000-000085000000}"/>
    <hyperlink ref="AB238" r:id="rId135" xr:uid="{00000000-0004-0000-0000-000086000000}"/>
    <hyperlink ref="AB236" r:id="rId136" xr:uid="{00000000-0004-0000-0000-000087000000}"/>
    <hyperlink ref="AB221" r:id="rId137" xr:uid="{00000000-0004-0000-0000-000088000000}"/>
    <hyperlink ref="AB220" r:id="rId138" xr:uid="{00000000-0004-0000-0000-000089000000}"/>
    <hyperlink ref="AB219" r:id="rId139" xr:uid="{00000000-0004-0000-0000-00008A000000}"/>
    <hyperlink ref="AB217" r:id="rId140" xr:uid="{00000000-0004-0000-0000-00008B000000}"/>
    <hyperlink ref="AB168" r:id="rId141" xr:uid="{00000000-0004-0000-0000-00008C000000}"/>
    <hyperlink ref="AB167" r:id="rId142" xr:uid="{00000000-0004-0000-0000-00008D000000}"/>
    <hyperlink ref="AB161" r:id="rId143" xr:uid="{00000000-0004-0000-0000-00008E000000}"/>
    <hyperlink ref="AB160" r:id="rId144" xr:uid="{00000000-0004-0000-0000-00008F000000}"/>
    <hyperlink ref="AB159" r:id="rId145" xr:uid="{00000000-0004-0000-0000-000090000000}"/>
    <hyperlink ref="AB158" r:id="rId146" xr:uid="{00000000-0004-0000-0000-000091000000}"/>
    <hyperlink ref="AB148" r:id="rId147" xr:uid="{00000000-0004-0000-0000-000092000000}"/>
    <hyperlink ref="AB138" r:id="rId148" xr:uid="{00000000-0004-0000-0000-000093000000}"/>
    <hyperlink ref="AB121" r:id="rId149" xr:uid="{00000000-0004-0000-0000-000094000000}"/>
    <hyperlink ref="AB88" r:id="rId150" xr:uid="{00000000-0004-0000-0000-000095000000}"/>
    <hyperlink ref="AB51" r:id="rId151" xr:uid="{00000000-0004-0000-0000-000096000000}"/>
    <hyperlink ref="AB117" r:id="rId152" xr:uid="{00000000-0004-0000-0000-000097000000}"/>
    <hyperlink ref="AB77" r:id="rId153" xr:uid="{00000000-0004-0000-0000-000098000000}"/>
    <hyperlink ref="AB48" r:id="rId154" xr:uid="{00000000-0004-0000-0000-000099000000}"/>
    <hyperlink ref="AB46" r:id="rId155" xr:uid="{00000000-0004-0000-0000-00009A000000}"/>
    <hyperlink ref="AB44" r:id="rId156" xr:uid="{00000000-0004-0000-0000-00009B000000}"/>
    <hyperlink ref="AB36" r:id="rId157" xr:uid="{00000000-0004-0000-0000-00009C000000}"/>
    <hyperlink ref="AB33" r:id="rId158" xr:uid="{00000000-0004-0000-0000-00009D000000}"/>
    <hyperlink ref="AB27" r:id="rId159" xr:uid="{00000000-0004-0000-0000-00009E000000}"/>
    <hyperlink ref="AB20" r:id="rId160" xr:uid="{00000000-0004-0000-0000-00009F000000}"/>
    <hyperlink ref="AB18" r:id="rId161" xr:uid="{00000000-0004-0000-0000-0000A0000000}"/>
    <hyperlink ref="AB16" r:id="rId162" xr:uid="{00000000-0004-0000-0000-0000A1000000}"/>
    <hyperlink ref="AB361" r:id="rId163" xr:uid="{00000000-0004-0000-0000-0000A2000000}"/>
    <hyperlink ref="AB38" r:id="rId164" xr:uid="{00000000-0004-0000-0000-0000A3000000}"/>
    <hyperlink ref="AB22" r:id="rId165" xr:uid="{00000000-0004-0000-0000-0000A4000000}"/>
    <hyperlink ref="AB7" r:id="rId166" xr:uid="{00000000-0004-0000-0000-0000A5000000}"/>
    <hyperlink ref="AB661" r:id="rId167" xr:uid="{00000000-0004-0000-0000-0000A6000000}"/>
    <hyperlink ref="AB659" r:id="rId168" xr:uid="{00000000-0004-0000-0000-0000A7000000}"/>
    <hyperlink ref="AB660" r:id="rId169" xr:uid="{00000000-0004-0000-0000-0000A8000000}"/>
    <hyperlink ref="AB662" r:id="rId170" xr:uid="{00000000-0004-0000-0000-0000A9000000}"/>
    <hyperlink ref="AB663" r:id="rId171" xr:uid="{00000000-0004-0000-0000-0000AA000000}"/>
    <hyperlink ref="AB664" r:id="rId172" xr:uid="{00000000-0004-0000-0000-0000AB000000}"/>
    <hyperlink ref="AB665" r:id="rId173" xr:uid="{00000000-0004-0000-0000-0000AC000000}"/>
    <hyperlink ref="AB666" r:id="rId174" xr:uid="{00000000-0004-0000-0000-0000AD000000}"/>
    <hyperlink ref="AB667" r:id="rId175" xr:uid="{00000000-0004-0000-0000-0000AE000000}"/>
    <hyperlink ref="AB668" r:id="rId176" xr:uid="{00000000-0004-0000-0000-0000AF000000}"/>
    <hyperlink ref="AB669" r:id="rId177" xr:uid="{00000000-0004-0000-0000-0000B0000000}"/>
    <hyperlink ref="AB670" r:id="rId178" xr:uid="{00000000-0004-0000-0000-0000B1000000}"/>
    <hyperlink ref="AB671" r:id="rId179" xr:uid="{00000000-0004-0000-0000-0000B2000000}"/>
    <hyperlink ref="AB673" r:id="rId180" xr:uid="{00000000-0004-0000-0000-0000B3000000}"/>
    <hyperlink ref="AB674" r:id="rId181" xr:uid="{00000000-0004-0000-0000-0000B4000000}"/>
    <hyperlink ref="AB675" r:id="rId182" xr:uid="{00000000-0004-0000-0000-0000B5000000}"/>
    <hyperlink ref="AB676" r:id="rId183" xr:uid="{00000000-0004-0000-0000-0000B6000000}"/>
    <hyperlink ref="AB677" r:id="rId184" xr:uid="{00000000-0004-0000-0000-0000B7000000}"/>
    <hyperlink ref="AB678" r:id="rId185" xr:uid="{00000000-0004-0000-0000-0000B8000000}"/>
    <hyperlink ref="AB679" r:id="rId186" xr:uid="{00000000-0004-0000-0000-0000B9000000}"/>
    <hyperlink ref="AB680" r:id="rId187" xr:uid="{00000000-0004-0000-0000-0000BA000000}"/>
    <hyperlink ref="AB681" r:id="rId188" xr:uid="{00000000-0004-0000-0000-0000BB000000}"/>
    <hyperlink ref="AB682" r:id="rId189" xr:uid="{00000000-0004-0000-0000-0000BC000000}"/>
    <hyperlink ref="AB683" r:id="rId190" xr:uid="{00000000-0004-0000-0000-0000BD000000}"/>
    <hyperlink ref="AB685" r:id="rId191" xr:uid="{00000000-0004-0000-0000-0000BE000000}"/>
    <hyperlink ref="AB686" r:id="rId192" xr:uid="{00000000-0004-0000-0000-0000BF000000}"/>
    <hyperlink ref="AB687" r:id="rId193" xr:uid="{00000000-0004-0000-0000-0000C0000000}"/>
    <hyperlink ref="AB689" r:id="rId194" xr:uid="{00000000-0004-0000-0000-0000C1000000}"/>
    <hyperlink ref="AB691" r:id="rId195" xr:uid="{00000000-0004-0000-0000-0000C2000000}"/>
    <hyperlink ref="AB692" r:id="rId196" xr:uid="{00000000-0004-0000-0000-0000C3000000}"/>
    <hyperlink ref="AB693" r:id="rId197" xr:uid="{00000000-0004-0000-0000-0000C4000000}"/>
    <hyperlink ref="AB694" r:id="rId198" xr:uid="{00000000-0004-0000-0000-0000C5000000}"/>
    <hyperlink ref="AB695" r:id="rId199" xr:uid="{00000000-0004-0000-0000-0000C6000000}"/>
    <hyperlink ref="AB696" r:id="rId200" xr:uid="{00000000-0004-0000-0000-0000C7000000}"/>
    <hyperlink ref="AB698" r:id="rId201" xr:uid="{00000000-0004-0000-0000-0000C8000000}"/>
    <hyperlink ref="AB700" r:id="rId202" xr:uid="{00000000-0004-0000-0000-0000C9000000}"/>
    <hyperlink ref="AB701" r:id="rId203" xr:uid="{00000000-0004-0000-0000-0000CA000000}"/>
    <hyperlink ref="AB702" r:id="rId204" xr:uid="{00000000-0004-0000-0000-0000CB000000}"/>
    <hyperlink ref="AB704" r:id="rId205" xr:uid="{00000000-0004-0000-0000-0000CC000000}"/>
    <hyperlink ref="AB705" r:id="rId206" xr:uid="{00000000-0004-0000-0000-0000CD000000}"/>
    <hyperlink ref="AB703" r:id="rId207" xr:uid="{00000000-0004-0000-0000-0000CE000000}"/>
    <hyperlink ref="AB706" r:id="rId208" xr:uid="{00000000-0004-0000-0000-0000CF000000}"/>
    <hyperlink ref="AB707" r:id="rId209" xr:uid="{00000000-0004-0000-0000-0000D0000000}"/>
    <hyperlink ref="AB708" r:id="rId210" xr:uid="{00000000-0004-0000-0000-0000D1000000}"/>
    <hyperlink ref="AB709" r:id="rId211" xr:uid="{00000000-0004-0000-0000-0000D2000000}"/>
    <hyperlink ref="AB710" r:id="rId212" xr:uid="{00000000-0004-0000-0000-0000D3000000}"/>
    <hyperlink ref="AB711" r:id="rId213" xr:uid="{00000000-0004-0000-0000-0000D4000000}"/>
    <hyperlink ref="AB712" r:id="rId214" xr:uid="{00000000-0004-0000-0000-0000D5000000}"/>
    <hyperlink ref="AB713" r:id="rId215" xr:uid="{00000000-0004-0000-0000-0000D6000000}"/>
    <hyperlink ref="AB714" r:id="rId216" xr:uid="{00000000-0004-0000-0000-0000D7000000}"/>
    <hyperlink ref="AB715" r:id="rId217" xr:uid="{00000000-0004-0000-0000-0000D8000000}"/>
    <hyperlink ref="AB716" r:id="rId218" xr:uid="{00000000-0004-0000-0000-0000D9000000}"/>
    <hyperlink ref="AB717" r:id="rId219" xr:uid="{00000000-0004-0000-0000-0000DA000000}"/>
    <hyperlink ref="AB718" r:id="rId220" xr:uid="{00000000-0004-0000-0000-0000DB000000}"/>
    <hyperlink ref="AB719" r:id="rId221" xr:uid="{00000000-0004-0000-0000-0000DC000000}"/>
    <hyperlink ref="AB720" r:id="rId222" xr:uid="{00000000-0004-0000-0000-0000DD000000}"/>
    <hyperlink ref="AB722" r:id="rId223" xr:uid="{00000000-0004-0000-0000-0000DE000000}"/>
    <hyperlink ref="AB723" r:id="rId224" xr:uid="{00000000-0004-0000-0000-0000DF000000}"/>
    <hyperlink ref="AB724" r:id="rId225" xr:uid="{00000000-0004-0000-0000-0000E0000000}"/>
    <hyperlink ref="AB725" r:id="rId226" xr:uid="{00000000-0004-0000-0000-0000E1000000}"/>
    <hyperlink ref="AB726" r:id="rId227" xr:uid="{00000000-0004-0000-0000-0000E2000000}"/>
    <hyperlink ref="AB727" r:id="rId228" xr:uid="{00000000-0004-0000-0000-0000E3000000}"/>
    <hyperlink ref="AB728" r:id="rId229" xr:uid="{00000000-0004-0000-0000-0000E4000000}"/>
    <hyperlink ref="AB729" r:id="rId230" xr:uid="{00000000-0004-0000-0000-0000E5000000}"/>
    <hyperlink ref="AB730" r:id="rId231" xr:uid="{00000000-0004-0000-0000-0000E6000000}"/>
    <hyperlink ref="AB731" r:id="rId232" xr:uid="{00000000-0004-0000-0000-0000E7000000}"/>
    <hyperlink ref="AB732" r:id="rId233" xr:uid="{00000000-0004-0000-0000-0000E8000000}"/>
    <hyperlink ref="AB733" r:id="rId234" xr:uid="{00000000-0004-0000-0000-0000E9000000}"/>
    <hyperlink ref="AB735" r:id="rId235" xr:uid="{00000000-0004-0000-0000-0000EA000000}"/>
    <hyperlink ref="AB737" r:id="rId236" xr:uid="{00000000-0004-0000-0000-0000EB000000}"/>
    <hyperlink ref="AB738" r:id="rId237" xr:uid="{00000000-0004-0000-0000-0000EC000000}"/>
    <hyperlink ref="AB781" r:id="rId238" xr:uid="{00000000-0004-0000-0000-0000ED000000}"/>
    <hyperlink ref="AB782" r:id="rId239" xr:uid="{00000000-0004-0000-0000-0000EE000000}"/>
    <hyperlink ref="AB783" r:id="rId240" xr:uid="{00000000-0004-0000-0000-0000EF000000}"/>
    <hyperlink ref="AB825" r:id="rId241" xr:uid="{00000000-0004-0000-0000-0000F0000000}"/>
    <hyperlink ref="AB826" r:id="rId242" xr:uid="{00000000-0004-0000-0000-0000F1000000}"/>
    <hyperlink ref="AB827" r:id="rId243" xr:uid="{00000000-0004-0000-0000-0000F2000000}"/>
    <hyperlink ref="AB828" r:id="rId244" xr:uid="{00000000-0004-0000-0000-0000F3000000}"/>
    <hyperlink ref="AB829" r:id="rId245" xr:uid="{00000000-0004-0000-0000-0000F4000000}"/>
    <hyperlink ref="AB830" r:id="rId246" xr:uid="{00000000-0004-0000-0000-0000F5000000}"/>
    <hyperlink ref="AB832" r:id="rId247" xr:uid="{00000000-0004-0000-0000-0000F6000000}"/>
    <hyperlink ref="AB833" r:id="rId248" xr:uid="{00000000-0004-0000-0000-0000F7000000}"/>
    <hyperlink ref="AB834" r:id="rId249" xr:uid="{00000000-0004-0000-0000-0000F8000000}"/>
    <hyperlink ref="AB835" r:id="rId250" xr:uid="{00000000-0004-0000-0000-0000F9000000}"/>
    <hyperlink ref="AB836" r:id="rId251" xr:uid="{00000000-0004-0000-0000-0000FA000000}"/>
    <hyperlink ref="AB838" r:id="rId252" xr:uid="{00000000-0004-0000-0000-0000FB000000}"/>
    <hyperlink ref="AB850" r:id="rId253" xr:uid="{00000000-0004-0000-0000-0000FC000000}"/>
    <hyperlink ref="AB876" r:id="rId254" xr:uid="{00000000-0004-0000-0000-0000FD000000}"/>
    <hyperlink ref="AB877" r:id="rId255" xr:uid="{00000000-0004-0000-0000-0000FE000000}"/>
    <hyperlink ref="AB879" r:id="rId256" xr:uid="{00000000-0004-0000-0000-0000FF000000}"/>
    <hyperlink ref="AB881" r:id="rId257" xr:uid="{00000000-0004-0000-0000-000000010000}"/>
    <hyperlink ref="AB884" r:id="rId258" xr:uid="{00000000-0004-0000-0000-000001010000}"/>
    <hyperlink ref="AB886" r:id="rId259" xr:uid="{00000000-0004-0000-0000-000002010000}"/>
    <hyperlink ref="AB688" r:id="rId260" xr:uid="{00000000-0004-0000-0000-000003010000}"/>
    <hyperlink ref="AB690" r:id="rId261" xr:uid="{00000000-0004-0000-0000-000004010000}"/>
    <hyperlink ref="AB885" r:id="rId262" xr:uid="{00000000-0004-0000-0000-000005010000}"/>
    <hyperlink ref="AB87" r:id="rId263" xr:uid="{00000000-0004-0000-0000-000006010000}"/>
    <hyperlink ref="AB89" r:id="rId264" xr:uid="{00000000-0004-0000-0000-000007010000}"/>
    <hyperlink ref="AB91" r:id="rId265" xr:uid="{00000000-0004-0000-0000-000008010000}"/>
    <hyperlink ref="AB474" r:id="rId266" xr:uid="{00000000-0004-0000-0000-000009010000}"/>
    <hyperlink ref="U6" r:id="rId267" xr:uid="{00000000-0004-0000-0000-00000A010000}"/>
    <hyperlink ref="U7:U898" r:id="rId268" display="La presente obra se encuentra en apego a los planes parciales de planeacion y desarrollo" xr:uid="{00000000-0004-0000-0000-00000B010000}"/>
    <hyperlink ref="AB58" r:id="rId269" display="https://www.zapopan.gob.mx/repositorio/view/file/0l6grvgmzpekmzrcxa1h/CONTRATO (045-2016) URCOMA.pdf" xr:uid="{00000000-0004-0000-0000-00000C010000}"/>
    <hyperlink ref="AB69" r:id="rId270" xr:uid="{00000000-0004-0000-0000-00000D010000}"/>
    <hyperlink ref="AB78" r:id="rId271" xr:uid="{00000000-0004-0000-0000-00000E010000}"/>
    <hyperlink ref="AB101" r:id="rId272" xr:uid="{00000000-0004-0000-0000-00000F010000}"/>
    <hyperlink ref="AB104" r:id="rId273" xr:uid="{00000000-0004-0000-0000-000010010000}"/>
    <hyperlink ref="AB107" r:id="rId274" xr:uid="{00000000-0004-0000-0000-000011010000}"/>
    <hyperlink ref="AB156" r:id="rId275" xr:uid="{00000000-0004-0000-0000-000012010000}"/>
    <hyperlink ref="AB165" r:id="rId276" xr:uid="{00000000-0004-0000-0000-000013010000}"/>
    <hyperlink ref="AB185" r:id="rId277" xr:uid="{00000000-0004-0000-0000-000014010000}"/>
    <hyperlink ref="AB186" r:id="rId278" xr:uid="{00000000-0004-0000-0000-000015010000}"/>
    <hyperlink ref="AB187" r:id="rId279" xr:uid="{00000000-0004-0000-0000-000016010000}"/>
    <hyperlink ref="AB190" r:id="rId280" xr:uid="{00000000-0004-0000-0000-000017010000}"/>
    <hyperlink ref="AB191" r:id="rId281" xr:uid="{00000000-0004-0000-0000-000018010000}"/>
    <hyperlink ref="AB192" r:id="rId282" xr:uid="{00000000-0004-0000-0000-000019010000}"/>
    <hyperlink ref="AB195" r:id="rId283" xr:uid="{00000000-0004-0000-0000-00001A010000}"/>
    <hyperlink ref="AB196" r:id="rId284" xr:uid="{00000000-0004-0000-0000-00001B010000}"/>
    <hyperlink ref="AB198" r:id="rId285" xr:uid="{00000000-0004-0000-0000-00001C010000}"/>
    <hyperlink ref="AB202" r:id="rId286" xr:uid="{00000000-0004-0000-0000-00001D010000}"/>
    <hyperlink ref="AB203" r:id="rId287" xr:uid="{00000000-0004-0000-0000-00001E010000}"/>
    <hyperlink ref="AB204" r:id="rId288" xr:uid="{00000000-0004-0000-0000-00001F010000}"/>
    <hyperlink ref="AB205" r:id="rId289" xr:uid="{00000000-0004-0000-0000-000020010000}"/>
    <hyperlink ref="AB207" r:id="rId290" xr:uid="{00000000-0004-0000-0000-000021010000}"/>
    <hyperlink ref="AB208" r:id="rId291" xr:uid="{00000000-0004-0000-0000-000022010000}"/>
    <hyperlink ref="AB209" r:id="rId292" xr:uid="{00000000-0004-0000-0000-000023010000}"/>
    <hyperlink ref="AB210" r:id="rId293" xr:uid="{00000000-0004-0000-0000-000024010000}"/>
    <hyperlink ref="AB237" r:id="rId294" xr:uid="{00000000-0004-0000-0000-000025010000}"/>
    <hyperlink ref="AB541" r:id="rId295" xr:uid="{00000000-0004-0000-0000-000026010000}"/>
    <hyperlink ref="AB56" r:id="rId296" xr:uid="{00000000-0004-0000-0000-000027010000}"/>
    <hyperlink ref="AB178" r:id="rId297" xr:uid="{00000000-0004-0000-0000-000028010000}"/>
    <hyperlink ref="AB252" r:id="rId298" xr:uid="{00000000-0004-0000-0000-000029010000}"/>
    <hyperlink ref="AB274" r:id="rId299" xr:uid="{00000000-0004-0000-0000-00002A010000}"/>
    <hyperlink ref="AB282" r:id="rId300" xr:uid="{00000000-0004-0000-0000-00002B010000}"/>
    <hyperlink ref="AB26" r:id="rId301" xr:uid="{00000000-0004-0000-0000-00002C010000}"/>
    <hyperlink ref="AB95" r:id="rId302" xr:uid="{00000000-0004-0000-0000-00002D010000}"/>
    <hyperlink ref="AB140" r:id="rId303" xr:uid="{00000000-0004-0000-0000-00002E010000}"/>
    <hyperlink ref="AB150" r:id="rId304" xr:uid="{00000000-0004-0000-0000-00002F010000}"/>
    <hyperlink ref="AB171" r:id="rId305" xr:uid="{00000000-0004-0000-0000-000030010000}"/>
    <hyperlink ref="AB174" r:id="rId306" xr:uid="{00000000-0004-0000-0000-000031010000}"/>
    <hyperlink ref="AB176" r:id="rId307" xr:uid="{00000000-0004-0000-0000-000032010000}"/>
    <hyperlink ref="AB179" r:id="rId308" xr:uid="{00000000-0004-0000-0000-000033010000}"/>
    <hyperlink ref="AB180" r:id="rId309" xr:uid="{00000000-0004-0000-0000-000034010000}"/>
    <hyperlink ref="AB181" r:id="rId310" xr:uid="{00000000-0004-0000-0000-000035010000}"/>
    <hyperlink ref="AB182" r:id="rId311" xr:uid="{00000000-0004-0000-0000-000036010000}"/>
    <hyperlink ref="AB224" r:id="rId312" xr:uid="{00000000-0004-0000-0000-000037010000}"/>
    <hyperlink ref="AB226" r:id="rId313" xr:uid="{00000000-0004-0000-0000-000038010000}"/>
    <hyperlink ref="AB227" r:id="rId314" xr:uid="{00000000-0004-0000-0000-000039010000}"/>
    <hyperlink ref="AB230" r:id="rId315" xr:uid="{00000000-0004-0000-0000-00003A010000}"/>
    <hyperlink ref="AB232" r:id="rId316" xr:uid="{00000000-0004-0000-0000-00003B010000}"/>
    <hyperlink ref="AB244" r:id="rId317" xr:uid="{00000000-0004-0000-0000-00003C010000}"/>
    <hyperlink ref="AB245" r:id="rId318" xr:uid="{00000000-0004-0000-0000-00003D010000}"/>
    <hyperlink ref="AB246" r:id="rId319" xr:uid="{00000000-0004-0000-0000-00003E010000}"/>
    <hyperlink ref="AB250" r:id="rId320" xr:uid="{00000000-0004-0000-0000-00003F010000}"/>
    <hyperlink ref="AB251" r:id="rId321" xr:uid="{00000000-0004-0000-0000-000040010000}"/>
    <hyperlink ref="AB254" r:id="rId322" xr:uid="{00000000-0004-0000-0000-000041010000}"/>
    <hyperlink ref="AB256" r:id="rId323" xr:uid="{00000000-0004-0000-0000-000042010000}"/>
    <hyperlink ref="AB258" r:id="rId324" xr:uid="{00000000-0004-0000-0000-000043010000}"/>
    <hyperlink ref="AB260" r:id="rId325" xr:uid="{00000000-0004-0000-0000-000044010000}"/>
    <hyperlink ref="AB261" r:id="rId326" xr:uid="{00000000-0004-0000-0000-000045010000}"/>
    <hyperlink ref="AB262" r:id="rId327" xr:uid="{00000000-0004-0000-0000-000046010000}"/>
    <hyperlink ref="AB263" r:id="rId328" xr:uid="{00000000-0004-0000-0000-000047010000}"/>
    <hyperlink ref="AB264" r:id="rId329" xr:uid="{00000000-0004-0000-0000-000048010000}"/>
    <hyperlink ref="AB265" r:id="rId330" xr:uid="{00000000-0004-0000-0000-000049010000}"/>
    <hyperlink ref="AB266" r:id="rId331" xr:uid="{00000000-0004-0000-0000-00004A010000}"/>
    <hyperlink ref="AB267" r:id="rId332" xr:uid="{00000000-0004-0000-0000-00004B010000}"/>
    <hyperlink ref="AB268" r:id="rId333" xr:uid="{00000000-0004-0000-0000-00004C010000}"/>
    <hyperlink ref="AB269" r:id="rId334" xr:uid="{00000000-0004-0000-0000-00004D010000}"/>
    <hyperlink ref="AB271" r:id="rId335" xr:uid="{00000000-0004-0000-0000-00004E010000}"/>
    <hyperlink ref="AB272" r:id="rId336" xr:uid="{00000000-0004-0000-0000-00004F010000}"/>
    <hyperlink ref="AB273" r:id="rId337" xr:uid="{00000000-0004-0000-0000-000050010000}"/>
    <hyperlink ref="AB275" r:id="rId338" xr:uid="{00000000-0004-0000-0000-000051010000}"/>
    <hyperlink ref="AB276" r:id="rId339" xr:uid="{00000000-0004-0000-0000-000052010000}"/>
    <hyperlink ref="AB277" r:id="rId340" xr:uid="{00000000-0004-0000-0000-000053010000}"/>
    <hyperlink ref="AB278" r:id="rId341" xr:uid="{00000000-0004-0000-0000-000054010000}"/>
    <hyperlink ref="AB279" r:id="rId342" xr:uid="{00000000-0004-0000-0000-000055010000}"/>
    <hyperlink ref="AB281" r:id="rId343" xr:uid="{00000000-0004-0000-0000-000056010000}"/>
    <hyperlink ref="AB283" r:id="rId344" xr:uid="{00000000-0004-0000-0000-000057010000}"/>
    <hyperlink ref="AB284" r:id="rId345" xr:uid="{00000000-0004-0000-0000-000058010000}"/>
    <hyperlink ref="AB285" r:id="rId346" xr:uid="{00000000-0004-0000-0000-000059010000}"/>
    <hyperlink ref="AB286" r:id="rId347" xr:uid="{00000000-0004-0000-0000-00005A010000}"/>
    <hyperlink ref="AB287" r:id="rId348" xr:uid="{00000000-0004-0000-0000-00005B010000}"/>
    <hyperlink ref="AB288" r:id="rId349" xr:uid="{00000000-0004-0000-0000-00005C010000}"/>
    <hyperlink ref="AB63" r:id="rId350" xr:uid="{00000000-0004-0000-0000-00005D010000}"/>
    <hyperlink ref="AB75" r:id="rId351" xr:uid="{00000000-0004-0000-0000-00005E010000}"/>
    <hyperlink ref="AB76" r:id="rId352" xr:uid="{00000000-0004-0000-0000-00005F010000}"/>
    <hyperlink ref="AB79" r:id="rId353" xr:uid="{00000000-0004-0000-0000-000060010000}"/>
    <hyperlink ref="AB97" r:id="rId354" xr:uid="{00000000-0004-0000-0000-000061010000}"/>
    <hyperlink ref="AB98" r:id="rId355" xr:uid="{00000000-0004-0000-0000-000062010000}"/>
    <hyperlink ref="AB99" r:id="rId356" xr:uid="{00000000-0004-0000-0000-000063010000}"/>
    <hyperlink ref="AB100" r:id="rId357" xr:uid="{00000000-0004-0000-0000-000064010000}"/>
    <hyperlink ref="AB102" r:id="rId358" xr:uid="{00000000-0004-0000-0000-000065010000}"/>
    <hyperlink ref="AB103" r:id="rId359" xr:uid="{00000000-0004-0000-0000-000066010000}"/>
    <hyperlink ref="AB105" r:id="rId360" xr:uid="{00000000-0004-0000-0000-000067010000}"/>
    <hyperlink ref="AB106" r:id="rId361" xr:uid="{00000000-0004-0000-0000-000068010000}"/>
    <hyperlink ref="AB108" r:id="rId362" xr:uid="{00000000-0004-0000-0000-000069010000}"/>
    <hyperlink ref="AB109" r:id="rId363" xr:uid="{00000000-0004-0000-0000-00006A010000}"/>
    <hyperlink ref="AB111" r:id="rId364" xr:uid="{00000000-0004-0000-0000-00006B010000}"/>
    <hyperlink ref="AB112" r:id="rId365" xr:uid="{00000000-0004-0000-0000-00006C010000}"/>
    <hyperlink ref="AB116" r:id="rId366" xr:uid="{00000000-0004-0000-0000-00006D010000}"/>
    <hyperlink ref="AB125" r:id="rId367" xr:uid="{00000000-0004-0000-0000-00006E010000}"/>
    <hyperlink ref="AB126" r:id="rId368" xr:uid="{00000000-0004-0000-0000-00006F010000}"/>
    <hyperlink ref="AB127" r:id="rId369" xr:uid="{00000000-0004-0000-0000-000070010000}"/>
    <hyperlink ref="AB128" r:id="rId370" xr:uid="{00000000-0004-0000-0000-000071010000}"/>
    <hyperlink ref="AB129" r:id="rId371" xr:uid="{00000000-0004-0000-0000-000072010000}"/>
    <hyperlink ref="AB130" r:id="rId372" xr:uid="{00000000-0004-0000-0000-000073010000}"/>
    <hyperlink ref="AB132" r:id="rId373" xr:uid="{00000000-0004-0000-0000-000074010000}"/>
    <hyperlink ref="AB135" r:id="rId374" xr:uid="{00000000-0004-0000-0000-000075010000}"/>
    <hyperlink ref="AB136" r:id="rId375" xr:uid="{00000000-0004-0000-0000-000076010000}"/>
    <hyperlink ref="AB137" r:id="rId376" xr:uid="{00000000-0004-0000-0000-000077010000}"/>
    <hyperlink ref="AB206" r:id="rId377" xr:uid="{00000000-0004-0000-0000-000078010000}"/>
    <hyperlink ref="AB215" r:id="rId378" xr:uid="{00000000-0004-0000-0000-000079010000}"/>
    <hyperlink ref="AB216" r:id="rId379" xr:uid="{00000000-0004-0000-0000-00007A010000}"/>
    <hyperlink ref="AB525" r:id="rId380" xr:uid="{00000000-0004-0000-0000-00007B010000}"/>
    <hyperlink ref="AB360" r:id="rId381" xr:uid="{00000000-0004-0000-0000-00007C010000}"/>
    <hyperlink ref="AB461" r:id="rId382" xr:uid="{00000000-0004-0000-0000-00007D010000}"/>
    <hyperlink ref="AB540" r:id="rId383" xr:uid="{00000000-0004-0000-0000-00007E010000}"/>
    <hyperlink ref="AB606" r:id="rId384" xr:uid="{00000000-0004-0000-0000-00007F010000}"/>
    <hyperlink ref="AB317" r:id="rId385" xr:uid="{00000000-0004-0000-0000-000080010000}"/>
    <hyperlink ref="AB374" r:id="rId386" xr:uid="{00000000-0004-0000-0000-000081010000}"/>
    <hyperlink ref="AB399" r:id="rId387" xr:uid="{00000000-0004-0000-0000-000082010000}"/>
    <hyperlink ref="AB462" r:id="rId388" xr:uid="{00000000-0004-0000-0000-000083010000}"/>
    <hyperlink ref="AB542" r:id="rId389" xr:uid="{00000000-0004-0000-0000-000084010000}"/>
    <hyperlink ref="AB543" r:id="rId390" xr:uid="{00000000-0004-0000-0000-000085010000}"/>
    <hyperlink ref="AB610" r:id="rId391" xr:uid="{00000000-0004-0000-0000-000086010000}"/>
    <hyperlink ref="AB320" r:id="rId392" xr:uid="{00000000-0004-0000-0000-000087010000}"/>
    <hyperlink ref="AB400" r:id="rId393" xr:uid="{00000000-0004-0000-0000-000088010000}"/>
    <hyperlink ref="AB401" r:id="rId394" xr:uid="{00000000-0004-0000-0000-000089010000}"/>
    <hyperlink ref="AB482" r:id="rId395" xr:uid="{00000000-0004-0000-0000-00008A010000}"/>
    <hyperlink ref="AB483" r:id="rId396" xr:uid="{00000000-0004-0000-0000-00008B010000}"/>
    <hyperlink ref="AB544" r:id="rId397" xr:uid="{00000000-0004-0000-0000-00008C010000}"/>
    <hyperlink ref="AB545" r:id="rId398" xr:uid="{00000000-0004-0000-0000-00008D010000}"/>
    <hyperlink ref="AB402" r:id="rId399" xr:uid="{00000000-0004-0000-0000-00008E010000}"/>
    <hyperlink ref="AB484" r:id="rId400" xr:uid="{00000000-0004-0000-0000-00008F010000}"/>
    <hyperlink ref="AB485" r:id="rId401" xr:uid="{00000000-0004-0000-0000-000090010000}"/>
    <hyperlink ref="AB613" r:id="rId402" xr:uid="{00000000-0004-0000-0000-000091010000}"/>
    <hyperlink ref="AB614" r:id="rId403" xr:uid="{00000000-0004-0000-0000-000092010000}"/>
    <hyperlink ref="AB292" r:id="rId404" xr:uid="{00000000-0004-0000-0000-000093010000}"/>
    <hyperlink ref="AB405" r:id="rId405" xr:uid="{00000000-0004-0000-0000-000094010000}"/>
    <hyperlink ref="AB486" r:id="rId406" xr:uid="{00000000-0004-0000-0000-000095010000}"/>
    <hyperlink ref="AB615" r:id="rId407" xr:uid="{00000000-0004-0000-0000-000096010000}"/>
    <hyperlink ref="AB616" r:id="rId408" xr:uid="{00000000-0004-0000-0000-000097010000}"/>
    <hyperlink ref="AB294" r:id="rId409" xr:uid="{00000000-0004-0000-0000-000098010000}"/>
    <hyperlink ref="AB609" r:id="rId410" xr:uid="{00000000-0004-0000-0000-000099010000}"/>
    <hyperlink ref="AB337" r:id="rId411" xr:uid="{00000000-0004-0000-0000-00009A010000}"/>
    <hyperlink ref="AB406" r:id="rId412" xr:uid="{00000000-0004-0000-0000-00009B010000}"/>
    <hyperlink ref="AB488" r:id="rId413" xr:uid="{00000000-0004-0000-0000-00009C010000}"/>
    <hyperlink ref="AB489" r:id="rId414" xr:uid="{00000000-0004-0000-0000-00009D010000}"/>
    <hyperlink ref="AB585" r:id="rId415" xr:uid="{00000000-0004-0000-0000-00009E010000}"/>
    <hyperlink ref="AB617" r:id="rId416" xr:uid="{00000000-0004-0000-0000-00009F010000}"/>
    <hyperlink ref="AB408" r:id="rId417" xr:uid="{00000000-0004-0000-0000-0000A0010000}"/>
    <hyperlink ref="AB409" r:id="rId418" xr:uid="{00000000-0004-0000-0000-0000A1010000}"/>
    <hyperlink ref="AB490" r:id="rId419" xr:uid="{00000000-0004-0000-0000-0000A2010000}"/>
    <hyperlink ref="AB586" r:id="rId420" xr:uid="{00000000-0004-0000-0000-0000A3010000}"/>
    <hyperlink ref="AB587" r:id="rId421" xr:uid="{00000000-0004-0000-0000-0000A4010000}"/>
    <hyperlink ref="AB619" r:id="rId422" xr:uid="{00000000-0004-0000-0000-0000A5010000}"/>
    <hyperlink ref="AB620" r:id="rId423" xr:uid="{00000000-0004-0000-0000-0000A6010000}"/>
    <hyperlink ref="AB341" r:id="rId424" xr:uid="{00000000-0004-0000-0000-0000A7010000}"/>
    <hyperlink ref="AB410" r:id="rId425" xr:uid="{00000000-0004-0000-0000-0000A8010000}"/>
    <hyperlink ref="AB411" r:id="rId426" xr:uid="{00000000-0004-0000-0000-0000A9010000}"/>
    <hyperlink ref="AB492" r:id="rId427" xr:uid="{00000000-0004-0000-0000-0000AA010000}"/>
    <hyperlink ref="AB588" r:id="rId428" xr:uid="{00000000-0004-0000-0000-0000AB010000}"/>
    <hyperlink ref="AB621" r:id="rId429" xr:uid="{00000000-0004-0000-0000-0000AC010000}"/>
    <hyperlink ref="AB622" r:id="rId430" xr:uid="{00000000-0004-0000-0000-0000AD010000}"/>
    <hyperlink ref="AB300" r:id="rId431" xr:uid="{00000000-0004-0000-0000-0000AE010000}"/>
    <hyperlink ref="AB342" r:id="rId432" xr:uid="{00000000-0004-0000-0000-0000AF010000}"/>
    <hyperlink ref="AB343" r:id="rId433" xr:uid="{00000000-0004-0000-0000-0000B0010000}"/>
    <hyperlink ref="AB412" r:id="rId434" xr:uid="{00000000-0004-0000-0000-0000B1010000}"/>
    <hyperlink ref="AB413" r:id="rId435" xr:uid="{00000000-0004-0000-0000-0000B2010000}"/>
    <hyperlink ref="AB506" r:id="rId436" xr:uid="{00000000-0004-0000-0000-0000B3010000}"/>
    <hyperlink ref="AB507" r:id="rId437" xr:uid="{00000000-0004-0000-0000-0000B4010000}"/>
    <hyperlink ref="AB591" r:id="rId438" xr:uid="{00000000-0004-0000-0000-0000B5010000}"/>
    <hyperlink ref="AB623" r:id="rId439" xr:uid="{00000000-0004-0000-0000-0000B6010000}"/>
    <hyperlink ref="AB624" r:id="rId440" xr:uid="{00000000-0004-0000-0000-0000B7010000}"/>
    <hyperlink ref="AB344" r:id="rId441" xr:uid="{00000000-0004-0000-0000-0000B8010000}"/>
    <hyperlink ref="AB345" r:id="rId442" xr:uid="{00000000-0004-0000-0000-0000B9010000}"/>
    <hyperlink ref="AB414" r:id="rId443" xr:uid="{00000000-0004-0000-0000-0000BA010000}"/>
    <hyperlink ref="AB593" r:id="rId444" xr:uid="{00000000-0004-0000-0000-0000BB010000}"/>
    <hyperlink ref="AB625" r:id="rId445" xr:uid="{00000000-0004-0000-0000-0000BC010000}"/>
    <hyperlink ref="AB626" r:id="rId446" xr:uid="{00000000-0004-0000-0000-0000BD010000}"/>
    <hyperlink ref="AB346" r:id="rId447" xr:uid="{00000000-0004-0000-0000-0000BE010000}"/>
    <hyperlink ref="AB416" r:id="rId448" xr:uid="{00000000-0004-0000-0000-0000BF010000}"/>
    <hyperlink ref="AB417" r:id="rId449" xr:uid="{00000000-0004-0000-0000-0000C0010000}"/>
    <hyperlink ref="AB509" r:id="rId450" xr:uid="{00000000-0004-0000-0000-0000C1010000}"/>
    <hyperlink ref="AB594" r:id="rId451" xr:uid="{00000000-0004-0000-0000-0000C2010000}"/>
    <hyperlink ref="AB595" r:id="rId452" xr:uid="{00000000-0004-0000-0000-0000C3010000}"/>
    <hyperlink ref="AB627" r:id="rId453" xr:uid="{00000000-0004-0000-0000-0000C4010000}"/>
    <hyperlink ref="AB628" r:id="rId454" xr:uid="{00000000-0004-0000-0000-0000C5010000}"/>
    <hyperlink ref="AB306" r:id="rId455" xr:uid="{00000000-0004-0000-0000-0000C6010000}"/>
    <hyperlink ref="AB347" r:id="rId456" xr:uid="{00000000-0004-0000-0000-0000C7010000}"/>
    <hyperlink ref="AB419" r:id="rId457" xr:uid="{00000000-0004-0000-0000-0000C8010000}"/>
    <hyperlink ref="AB596" r:id="rId458" xr:uid="{00000000-0004-0000-0000-0000C9010000}"/>
    <hyperlink ref="AB629" r:id="rId459" xr:uid="{00000000-0004-0000-0000-0000CA010000}"/>
    <hyperlink ref="AB630" r:id="rId460" xr:uid="{00000000-0004-0000-0000-0000CB010000}"/>
    <hyperlink ref="AB307" r:id="rId461" xr:uid="{00000000-0004-0000-0000-0000CC010000}"/>
    <hyperlink ref="AB353" r:id="rId462" xr:uid="{00000000-0004-0000-0000-0000CD010000}"/>
    <hyperlink ref="AB420" r:id="rId463" xr:uid="{00000000-0004-0000-0000-0000CE010000}"/>
    <hyperlink ref="AB421" r:id="rId464" xr:uid="{00000000-0004-0000-0000-0000CF010000}"/>
    <hyperlink ref="AB518" r:id="rId465" xr:uid="{00000000-0004-0000-0000-0000D0010000}"/>
    <hyperlink ref="AB598" r:id="rId466" xr:uid="{00000000-0004-0000-0000-0000D1010000}"/>
    <hyperlink ref="AB599" r:id="rId467" xr:uid="{00000000-0004-0000-0000-0000D2010000}"/>
    <hyperlink ref="AB631" r:id="rId468" xr:uid="{00000000-0004-0000-0000-0000D3010000}"/>
    <hyperlink ref="AB632" r:id="rId469" xr:uid="{00000000-0004-0000-0000-0000D4010000}"/>
    <hyperlink ref="AB354" r:id="rId470" xr:uid="{00000000-0004-0000-0000-0000D5010000}"/>
    <hyperlink ref="AB355" r:id="rId471" xr:uid="{00000000-0004-0000-0000-0000D6010000}"/>
    <hyperlink ref="AB422" r:id="rId472" xr:uid="{00000000-0004-0000-0000-0000D7010000}"/>
    <hyperlink ref="AB423" r:id="rId473" xr:uid="{00000000-0004-0000-0000-0000D8010000}"/>
    <hyperlink ref="AB519" r:id="rId474" xr:uid="{00000000-0004-0000-0000-0000D9010000}"/>
    <hyperlink ref="AB520" r:id="rId475" xr:uid="{00000000-0004-0000-0000-0000DA010000}"/>
    <hyperlink ref="AB600" r:id="rId476" xr:uid="{00000000-0004-0000-0000-0000DB010000}"/>
    <hyperlink ref="AB634" r:id="rId477" xr:uid="{00000000-0004-0000-0000-0000DC010000}"/>
    <hyperlink ref="AB356" r:id="rId478" xr:uid="{00000000-0004-0000-0000-0000DD010000}"/>
    <hyperlink ref="AB357" r:id="rId479" xr:uid="{00000000-0004-0000-0000-0000DE010000}"/>
    <hyperlink ref="AB522" r:id="rId480" xr:uid="{00000000-0004-0000-0000-0000DF010000}"/>
    <hyperlink ref="AB603" r:id="rId481" xr:uid="{00000000-0004-0000-0000-0000E0010000}"/>
    <hyperlink ref="AB635" r:id="rId482" xr:uid="{00000000-0004-0000-0000-0000E1010000}"/>
    <hyperlink ref="AB636" r:id="rId483" xr:uid="{00000000-0004-0000-0000-0000E2010000}"/>
    <hyperlink ref="AB359" r:id="rId484" xr:uid="{00000000-0004-0000-0000-0000E3010000}"/>
    <hyperlink ref="AB459" r:id="rId485" xr:uid="{00000000-0004-0000-0000-0000E4010000}"/>
    <hyperlink ref="AB524" r:id="rId486" xr:uid="{00000000-0004-0000-0000-0000E5010000}"/>
    <hyperlink ref="AB605" r:id="rId487" xr:uid="{00000000-0004-0000-0000-0000E6010000}"/>
    <hyperlink ref="AB259" r:id="rId488" xr:uid="{00000000-0004-0000-0000-0000E7010000}"/>
    <hyperlink ref="AB6" r:id="rId489" xr:uid="{00000000-0004-0000-0000-0000E8010000}"/>
    <hyperlink ref="AB9" r:id="rId490" xr:uid="{00000000-0004-0000-0000-0000E9010000}"/>
    <hyperlink ref="AB10" r:id="rId491" xr:uid="{00000000-0004-0000-0000-0000EA010000}"/>
    <hyperlink ref="AB12" r:id="rId492" xr:uid="{00000000-0004-0000-0000-0000EB010000}"/>
    <hyperlink ref="AB13" r:id="rId493" xr:uid="{00000000-0004-0000-0000-0000EC010000}"/>
    <hyperlink ref="AB14" r:id="rId494" xr:uid="{00000000-0004-0000-0000-0000ED010000}"/>
    <hyperlink ref="AB15" r:id="rId495" xr:uid="{00000000-0004-0000-0000-0000EE010000}"/>
    <hyperlink ref="AB41" r:id="rId496" xr:uid="{00000000-0004-0000-0000-0000EF010000}"/>
    <hyperlink ref="AB81" r:id="rId497" xr:uid="{00000000-0004-0000-0000-0000F0010000}"/>
    <hyperlink ref="AB32" r:id="rId498" xr:uid="{00000000-0004-0000-0000-0000F1010000}"/>
    <hyperlink ref="AB55" r:id="rId499" xr:uid="{00000000-0004-0000-0000-0000F2010000}"/>
    <hyperlink ref="AB153" r:id="rId500" xr:uid="{00000000-0004-0000-0000-0000F3010000}"/>
    <hyperlink ref="AB154" r:id="rId501" xr:uid="{00000000-0004-0000-0000-0000F4010000}"/>
    <hyperlink ref="AB155" r:id="rId502" xr:uid="{00000000-0004-0000-0000-0000F5010000}"/>
    <hyperlink ref="AB200" r:id="rId503" xr:uid="{00000000-0004-0000-0000-0000F6010000}"/>
    <hyperlink ref="AB249" r:id="rId504" xr:uid="{00000000-0004-0000-0000-0000F7010000}"/>
    <hyperlink ref="AB201" r:id="rId505" xr:uid="{00000000-0004-0000-0000-0000F8010000}"/>
    <hyperlink ref="AC824" r:id="rId506" xr:uid="{00000000-0004-0000-0000-0000F9010000}"/>
  </hyperlinks>
  <pageMargins left="0.70866141732283472" right="0.70866141732283472" top="0.74803149606299213" bottom="0.74803149606299213" header="0.31496062992125984" footer="0.31496062992125984"/>
  <pageSetup paperSize="5" scale="31" fitToHeight="0" orientation="landscape" r:id="rId507"/>
  <colBreaks count="1" manualBreakCount="1">
    <brk id="14" max="19" man="1"/>
  </colBreaks>
  <drawing r:id="rId508"/>
  <legacyDrawing r:id="rId5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Obras Pública 2015-2018</vt:lpstr>
      <vt:lpstr>'Obras Pública 2015-2018'!Área_de_impresión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Rocio Aceves</cp:lastModifiedBy>
  <cp:lastPrinted>2019-08-07T18:19:32Z</cp:lastPrinted>
  <dcterms:created xsi:type="dcterms:W3CDTF">2018-07-12T15:53:52Z</dcterms:created>
  <dcterms:modified xsi:type="dcterms:W3CDTF">2022-04-05T03:00:32Z</dcterms:modified>
</cp:coreProperties>
</file>