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2535" windowWidth="19440" windowHeight="4860" tabRatio="981"/>
  </bookViews>
  <sheets>
    <sheet name="Resumen Presupuestal" sheetId="19" r:id="rId1"/>
    <sheet name="Capitulo 1000" sheetId="11" r:id="rId2"/>
    <sheet name="Capitulo 2000" sheetId="10" r:id="rId3"/>
    <sheet name="Capitulo 3000" sheetId="9" r:id="rId4"/>
    <sheet name="Capitulo 4000" sheetId="13" r:id="rId5"/>
    <sheet name="Capitulo 5000" sheetId="12" r:id="rId6"/>
    <sheet name="Capitulo 6000" sheetId="18" r:id="rId7"/>
    <sheet name="Capitulo 7000" sheetId="16" r:id="rId8"/>
    <sheet name="Capitulo 9000" sheetId="17" r:id="rId9"/>
    <sheet name="E-Fondo de Forta " sheetId="4" r:id="rId10"/>
    <sheet name="Infra" sheetId="6" r:id="rId11"/>
    <sheet name="Subsemun" sheetId="5" r:id="rId12"/>
  </sheets>
  <definedNames>
    <definedName name="_xlnm.Print_Area" localSheetId="1">'Capitulo 1000'!$A$1:$F$42</definedName>
    <definedName name="_xlnm.Print_Area" localSheetId="2">'Capitulo 2000'!$A$1:$F$66</definedName>
    <definedName name="_xlnm.Print_Area" localSheetId="3">'Capitulo 3000'!$A$1:$G$87</definedName>
    <definedName name="_xlnm.Print_Area" localSheetId="4">'Capitulo 4000'!$A$1:$G$62</definedName>
    <definedName name="_xlnm.Print_Area" localSheetId="5">'Capitulo 5000'!$A$1:$G$61</definedName>
    <definedName name="_xlnm.Print_Area" localSheetId="6">'Capitulo 6000'!$A$1:$G$24</definedName>
    <definedName name="_xlnm.Print_Area" localSheetId="7">'Capitulo 7000'!$A$1:$G$50</definedName>
    <definedName name="_xlnm.Print_Area" localSheetId="8">'Capitulo 9000'!$A$1:$G$35</definedName>
    <definedName name="_xlnm.Print_Area" localSheetId="9">'E-Fondo de Forta '!$A$1:$H$17</definedName>
    <definedName name="_xlnm.Print_Area" localSheetId="10">Infra!$A$1:$H$21</definedName>
    <definedName name="_xlnm.Print_Area" localSheetId="0">'Resumen Presupuestal'!$A$1:$I$18</definedName>
    <definedName name="_xlnm.Print_Area" localSheetId="11">Subsemun!$A$1:$H$63</definedName>
    <definedName name="_xlnm.Print_Titles" localSheetId="2">'Capitulo 2000'!$1:$2</definedName>
    <definedName name="_xlnm.Print_Titles" localSheetId="3">'Capitulo 3000'!$1:$2</definedName>
  </definedNames>
  <calcPr calcId="124519"/>
</workbook>
</file>

<file path=xl/calcChain.xml><?xml version="1.0" encoding="utf-8"?>
<calcChain xmlns="http://schemas.openxmlformats.org/spreadsheetml/2006/main">
  <c r="G5" i="17"/>
  <c r="G8" i="18"/>
  <c r="G53" i="12"/>
  <c r="E21" i="13"/>
  <c r="G19" i="9"/>
  <c r="G20"/>
  <c r="G35"/>
  <c r="F20" i="12"/>
  <c r="F15"/>
  <c r="F10"/>
  <c r="G34" i="13"/>
  <c r="E65" i="10"/>
  <c r="G32" i="13"/>
  <c r="G19"/>
  <c r="F11" i="11"/>
  <c r="H29" i="5"/>
  <c r="D39" i="11" l="1"/>
  <c r="G68" i="9"/>
  <c r="E68" s="1"/>
  <c r="H20" i="6"/>
  <c r="H19"/>
  <c r="H18"/>
  <c r="E26" i="17"/>
  <c r="E62" i="13"/>
  <c r="E60"/>
  <c r="E58"/>
  <c r="E57"/>
  <c r="E56"/>
  <c r="E55"/>
  <c r="E52"/>
  <c r="E51"/>
  <c r="E50"/>
  <c r="E49"/>
  <c r="E48"/>
  <c r="E47"/>
  <c r="E45"/>
  <c r="E44"/>
  <c r="E43"/>
  <c r="E40"/>
  <c r="E39"/>
  <c r="E38"/>
  <c r="E37"/>
  <c r="E34"/>
  <c r="E32"/>
  <c r="E31"/>
  <c r="E30"/>
  <c r="E29"/>
  <c r="E28"/>
  <c r="E27"/>
  <c r="E25"/>
  <c r="E6"/>
  <c r="E7"/>
  <c r="E8"/>
  <c r="E9"/>
  <c r="E13"/>
  <c r="E14"/>
  <c r="E15"/>
  <c r="E19"/>
  <c r="E20"/>
  <c r="E22"/>
  <c r="E16"/>
  <c r="E87" i="9"/>
  <c r="E83"/>
  <c r="E82"/>
  <c r="E81"/>
  <c r="E79"/>
  <c r="E50"/>
  <c r="E48"/>
  <c r="E46"/>
  <c r="E45"/>
  <c r="E43"/>
  <c r="E42"/>
  <c r="E41"/>
  <c r="E40"/>
  <c r="E39"/>
  <c r="E32"/>
  <c r="E22"/>
  <c r="E21"/>
  <c r="E20"/>
  <c r="E19"/>
  <c r="E18"/>
  <c r="E15"/>
  <c r="E9"/>
  <c r="E10"/>
  <c r="E12"/>
  <c r="D61" i="10"/>
  <c r="D62"/>
  <c r="D63"/>
  <c r="D65"/>
  <c r="F66"/>
  <c r="E66" s="1"/>
  <c r="D53"/>
  <c r="F52"/>
  <c r="D52" s="1"/>
  <c r="F50"/>
  <c r="D50" s="1"/>
  <c r="F49"/>
  <c r="D51"/>
  <c r="D49"/>
  <c r="D66" l="1"/>
  <c r="F24" i="5"/>
  <c r="F22"/>
  <c r="H67" l="1"/>
  <c r="F32" i="6"/>
  <c r="F34" s="1"/>
  <c r="H32"/>
  <c r="H33"/>
  <c r="G50" i="12"/>
  <c r="F50" s="1"/>
  <c r="G45"/>
  <c r="H6" i="4"/>
  <c r="F21" i="11"/>
  <c r="D11"/>
  <c r="F7"/>
  <c r="D7" s="1"/>
  <c r="G26" i="13"/>
  <c r="E26" s="1"/>
  <c r="G14" i="12"/>
  <c r="F14" s="1"/>
  <c r="F47" i="10"/>
  <c r="G7" i="12"/>
  <c r="G27"/>
  <c r="G9"/>
  <c r="G54" i="13"/>
  <c r="E54" s="1"/>
  <c r="G14" i="17"/>
  <c r="E14" s="1"/>
  <c r="G35" i="12"/>
  <c r="E35"/>
  <c r="F30" i="11"/>
  <c r="F32"/>
  <c r="D32"/>
  <c r="F29" i="10"/>
  <c r="F28"/>
  <c r="F42"/>
  <c r="D42" s="1"/>
  <c r="G51" i="12"/>
  <c r="E4" i="4"/>
  <c r="H15"/>
  <c r="H13"/>
  <c r="F8" i="10"/>
  <c r="D8" s="1"/>
  <c r="G35" i="17"/>
  <c r="E35" s="1"/>
  <c r="G29" i="12"/>
  <c r="G30"/>
  <c r="E30" s="1"/>
  <c r="G51" i="9"/>
  <c r="E51" s="1"/>
  <c r="G13"/>
  <c r="E13" s="1"/>
  <c r="G49"/>
  <c r="E49" s="1"/>
  <c r="G26"/>
  <c r="E26" s="1"/>
  <c r="D30" i="11"/>
  <c r="H17" i="6"/>
  <c r="E9" i="18"/>
  <c r="G7"/>
  <c r="G6"/>
  <c r="G59" i="12"/>
  <c r="F59" s="1"/>
  <c r="E20"/>
  <c r="G5"/>
  <c r="E5"/>
  <c r="G61" i="13"/>
  <c r="E61" s="1"/>
  <c r="G41"/>
  <c r="E41" s="1"/>
  <c r="G24"/>
  <c r="E24" s="1"/>
  <c r="G11"/>
  <c r="E11" s="1"/>
  <c r="G12"/>
  <c r="E12" s="1"/>
  <c r="G10"/>
  <c r="E10" s="1"/>
  <c r="G80" i="9"/>
  <c r="E80" s="1"/>
  <c r="G76"/>
  <c r="E76" s="1"/>
  <c r="G74"/>
  <c r="E74" s="1"/>
  <c r="G77"/>
  <c r="E77" s="1"/>
  <c r="G75"/>
  <c r="E75" s="1"/>
  <c r="G73"/>
  <c r="E73" s="1"/>
  <c r="G71"/>
  <c r="E71" s="1"/>
  <c r="G70"/>
  <c r="E70" s="1"/>
  <c r="G69"/>
  <c r="E69" s="1"/>
  <c r="G67"/>
  <c r="E67" s="1"/>
  <c r="G66"/>
  <c r="E66" s="1"/>
  <c r="G65"/>
  <c r="E65" s="1"/>
  <c r="G64"/>
  <c r="E64" s="1"/>
  <c r="G63"/>
  <c r="E63" s="1"/>
  <c r="G56"/>
  <c r="E56" s="1"/>
  <c r="G57"/>
  <c r="E57" s="1"/>
  <c r="G58"/>
  <c r="E58" s="1"/>
  <c r="G59"/>
  <c r="E59" s="1"/>
  <c r="G60"/>
  <c r="E60" s="1"/>
  <c r="G61"/>
  <c r="E61" s="1"/>
  <c r="G55"/>
  <c r="E55" s="1"/>
  <c r="G53"/>
  <c r="E53" s="1"/>
  <c r="G52"/>
  <c r="E52" s="1"/>
  <c r="E36"/>
  <c r="E38"/>
  <c r="G33"/>
  <c r="E33" s="1"/>
  <c r="G31"/>
  <c r="G28"/>
  <c r="E28" s="1"/>
  <c r="G27"/>
  <c r="E27" s="1"/>
  <c r="G25"/>
  <c r="E25" s="1"/>
  <c r="G16"/>
  <c r="E16" s="1"/>
  <c r="G11"/>
  <c r="E11" s="1"/>
  <c r="G8"/>
  <c r="E8" s="1"/>
  <c r="G7"/>
  <c r="E7" s="1"/>
  <c r="G6"/>
  <c r="E6" s="1"/>
  <c r="G5"/>
  <c r="E5" s="1"/>
  <c r="F15" i="10"/>
  <c r="F64"/>
  <c r="D64" s="1"/>
  <c r="F60"/>
  <c r="D60" s="1"/>
  <c r="F46"/>
  <c r="D46" s="1"/>
  <c r="D44"/>
  <c r="F40"/>
  <c r="D39"/>
  <c r="D40"/>
  <c r="F33"/>
  <c r="D33" s="1"/>
  <c r="D30"/>
  <c r="D31"/>
  <c r="D32"/>
  <c r="D34"/>
  <c r="D9"/>
  <c r="F38" i="11"/>
  <c r="D33"/>
  <c r="D31"/>
  <c r="D27"/>
  <c r="F26"/>
  <c r="F25"/>
  <c r="D25" s="1"/>
  <c r="D26"/>
  <c r="D24"/>
  <c r="D21"/>
  <c r="F17"/>
  <c r="D17" s="1"/>
  <c r="F16"/>
  <c r="D20"/>
  <c r="D19"/>
  <c r="D18"/>
  <c r="D16"/>
  <c r="D6"/>
  <c r="G47" i="9"/>
  <c r="E47" s="1"/>
  <c r="G30"/>
  <c r="D47" i="10"/>
  <c r="F41"/>
  <c r="D41" s="1"/>
  <c r="F35"/>
  <c r="D35" s="1"/>
  <c r="F30" i="9" l="1"/>
  <c r="E30"/>
  <c r="F31"/>
  <c r="E31"/>
  <c r="G34" i="12"/>
  <c r="E34" s="1"/>
  <c r="G35" i="13" l="1"/>
  <c r="E35" s="1"/>
  <c r="D42" i="11" l="1"/>
  <c r="D41"/>
  <c r="E6" i="18"/>
  <c r="E7"/>
  <c r="G29" i="9"/>
  <c r="E29" s="1"/>
  <c r="D29" i="10"/>
  <c r="G4" i="18" l="1"/>
  <c r="G85" i="9" l="1"/>
  <c r="G86"/>
  <c r="E86" s="1"/>
  <c r="F85" l="1"/>
  <c r="E85"/>
  <c r="F86"/>
  <c r="F43" i="5"/>
  <c r="H42"/>
  <c r="E21"/>
  <c r="H21"/>
  <c r="E42"/>
  <c r="F21" l="1"/>
  <c r="F20" i="6" l="1"/>
  <c r="G8"/>
  <c r="G21"/>
  <c r="G19"/>
  <c r="F18"/>
  <c r="G17" i="9"/>
  <c r="E17" s="1"/>
  <c r="G37"/>
  <c r="E37" s="1"/>
  <c r="H23" i="5"/>
  <c r="H20" s="1"/>
  <c r="H31"/>
  <c r="H56"/>
  <c r="F57"/>
  <c r="E56"/>
  <c r="F55"/>
  <c r="H54"/>
  <c r="E54"/>
  <c r="F41"/>
  <c r="H40"/>
  <c r="E40"/>
  <c r="F33"/>
  <c r="F32"/>
  <c r="E31"/>
  <c r="H26"/>
  <c r="E23"/>
  <c r="E20" s="1"/>
  <c r="H25" l="1"/>
  <c r="F31"/>
  <c r="F40"/>
  <c r="F56"/>
  <c r="F54"/>
  <c r="F17"/>
  <c r="H16"/>
  <c r="E16"/>
  <c r="F53"/>
  <c r="H52"/>
  <c r="E52"/>
  <c r="F44"/>
  <c r="F42" s="1"/>
  <c r="E18"/>
  <c r="H18"/>
  <c r="F19"/>
  <c r="F52" l="1"/>
  <c r="F16"/>
  <c r="F18"/>
  <c r="G84" i="9" l="1"/>
  <c r="E84" s="1"/>
  <c r="C58" i="10"/>
  <c r="H11" i="4"/>
  <c r="H10"/>
  <c r="F10" l="1"/>
  <c r="H6" i="6"/>
  <c r="D54" i="9"/>
  <c r="D44"/>
  <c r="D52" i="12"/>
  <c r="D47"/>
  <c r="D37"/>
  <c r="D28"/>
  <c r="D19"/>
  <c r="D4"/>
  <c r="D3" l="1"/>
  <c r="G36" i="13"/>
  <c r="G23" i="9"/>
  <c r="E23" s="1"/>
  <c r="F43" i="10"/>
  <c r="D43" s="1"/>
  <c r="F36" i="13" l="1"/>
  <c r="E36"/>
  <c r="F58" i="10"/>
  <c r="E17" i="6"/>
  <c r="E16" s="1"/>
  <c r="E10"/>
  <c r="E9" s="1"/>
  <c r="E7"/>
  <c r="E5"/>
  <c r="E3" i="4"/>
  <c r="D34" i="17"/>
  <c r="D25"/>
  <c r="D13"/>
  <c r="D4"/>
  <c r="F10" i="18"/>
  <c r="D59" i="13"/>
  <c r="D53"/>
  <c r="D46"/>
  <c r="D42"/>
  <c r="D33"/>
  <c r="D23"/>
  <c r="D17"/>
  <c r="D4"/>
  <c r="D78" i="9"/>
  <c r="D72"/>
  <c r="D62"/>
  <c r="D34"/>
  <c r="D24"/>
  <c r="D14"/>
  <c r="D4"/>
  <c r="C45" i="10"/>
  <c r="C37"/>
  <c r="C27"/>
  <c r="C13"/>
  <c r="C4"/>
  <c r="C4" i="11"/>
  <c r="C9"/>
  <c r="C14"/>
  <c r="C23"/>
  <c r="C28"/>
  <c r="C37"/>
  <c r="D2"/>
  <c r="F1"/>
  <c r="C1"/>
  <c r="C3" i="10" l="1"/>
  <c r="E4" i="6"/>
  <c r="C3" i="11"/>
  <c r="D3" i="9"/>
  <c r="F5" i="19" s="1"/>
  <c r="E5" s="1"/>
  <c r="D3" i="13"/>
  <c r="D3" i="17"/>
  <c r="F3" i="19"/>
  <c r="E3" i="6"/>
  <c r="F12" i="19" s="1"/>
  <c r="D12" s="1"/>
  <c r="H62" i="5"/>
  <c r="H61" s="1"/>
  <c r="H59"/>
  <c r="H58" s="1"/>
  <c r="H45"/>
  <c r="H34" s="1"/>
  <c r="H5"/>
  <c r="H4" s="1"/>
  <c r="H16" i="6"/>
  <c r="H7"/>
  <c r="G7" s="1"/>
  <c r="H5"/>
  <c r="H16" i="4"/>
  <c r="G16" s="1"/>
  <c r="H9"/>
  <c r="F9" s="1"/>
  <c r="H7"/>
  <c r="F7" s="1"/>
  <c r="G4" i="17"/>
  <c r="F4" s="1"/>
  <c r="G13"/>
  <c r="E13" s="1"/>
  <c r="G25"/>
  <c r="E25" s="1"/>
  <c r="G34"/>
  <c r="E34" s="1"/>
  <c r="G22" i="18"/>
  <c r="G13"/>
  <c r="E13" s="1"/>
  <c r="E4"/>
  <c r="G52" i="12"/>
  <c r="G47"/>
  <c r="G37"/>
  <c r="E37" s="1"/>
  <c r="G28"/>
  <c r="F28" s="1"/>
  <c r="G26"/>
  <c r="E26" s="1"/>
  <c r="G19"/>
  <c r="F19" s="1"/>
  <c r="G16"/>
  <c r="E16" s="1"/>
  <c r="G11"/>
  <c r="G4"/>
  <c r="E4" s="1"/>
  <c r="G59" i="13"/>
  <c r="E59" s="1"/>
  <c r="G53"/>
  <c r="G46"/>
  <c r="G42"/>
  <c r="E42" s="1"/>
  <c r="G33"/>
  <c r="G23"/>
  <c r="E23" s="1"/>
  <c r="G17"/>
  <c r="F17" s="1"/>
  <c r="G4"/>
  <c r="F4" s="1"/>
  <c r="G78" i="9"/>
  <c r="F78" s="1"/>
  <c r="G72"/>
  <c r="F72" s="1"/>
  <c r="G62"/>
  <c r="F62" s="1"/>
  <c r="G54"/>
  <c r="F54" s="1"/>
  <c r="G44"/>
  <c r="F44" s="1"/>
  <c r="G34"/>
  <c r="E34" s="1"/>
  <c r="G24"/>
  <c r="F24" s="1"/>
  <c r="G14"/>
  <c r="E14" s="1"/>
  <c r="G4"/>
  <c r="D58" i="10"/>
  <c r="F54"/>
  <c r="D54" s="1"/>
  <c r="F48"/>
  <c r="D48" s="1"/>
  <c r="F45"/>
  <c r="E45" s="1"/>
  <c r="F37"/>
  <c r="D37" s="1"/>
  <c r="F27"/>
  <c r="F13"/>
  <c r="D13" s="1"/>
  <c r="F4"/>
  <c r="E4" s="1"/>
  <c r="E50" i="12"/>
  <c r="F37" i="11"/>
  <c r="D37" s="1"/>
  <c r="F28"/>
  <c r="D28" s="1"/>
  <c r="F23"/>
  <c r="D23" s="1"/>
  <c r="F14"/>
  <c r="E14" s="1"/>
  <c r="F9"/>
  <c r="F4"/>
  <c r="F15" i="4"/>
  <c r="H5"/>
  <c r="F5" s="1"/>
  <c r="E5" i="5"/>
  <c r="E4" s="1"/>
  <c r="F6"/>
  <c r="G6"/>
  <c r="F7"/>
  <c r="G7"/>
  <c r="F8"/>
  <c r="G8"/>
  <c r="F9"/>
  <c r="G9"/>
  <c r="F10"/>
  <c r="G10"/>
  <c r="F11"/>
  <c r="G11"/>
  <c r="F12"/>
  <c r="G12"/>
  <c r="F13"/>
  <c r="G13"/>
  <c r="F14"/>
  <c r="F15"/>
  <c r="E26"/>
  <c r="E25" s="1"/>
  <c r="F27"/>
  <c r="G27"/>
  <c r="F28"/>
  <c r="F29"/>
  <c r="G29"/>
  <c r="F30"/>
  <c r="E35"/>
  <c r="F35" s="1"/>
  <c r="F36"/>
  <c r="F37"/>
  <c r="E38"/>
  <c r="F38" s="1"/>
  <c r="F39"/>
  <c r="E45"/>
  <c r="F46"/>
  <c r="G46"/>
  <c r="E47"/>
  <c r="F47" s="1"/>
  <c r="F48"/>
  <c r="F49"/>
  <c r="E50"/>
  <c r="F50" s="1"/>
  <c r="F51"/>
  <c r="E59"/>
  <c r="F60"/>
  <c r="G60"/>
  <c r="E62"/>
  <c r="E61" s="1"/>
  <c r="F63"/>
  <c r="G63"/>
  <c r="F5" i="6"/>
  <c r="F6"/>
  <c r="G6"/>
  <c r="F8"/>
  <c r="F11"/>
  <c r="F13"/>
  <c r="G13"/>
  <c r="F14"/>
  <c r="G14"/>
  <c r="F15"/>
  <c r="G15"/>
  <c r="F19"/>
  <c r="F21"/>
  <c r="G22"/>
  <c r="H23"/>
  <c r="G23" s="1"/>
  <c r="H24"/>
  <c r="G24" s="1"/>
  <c r="H25"/>
  <c r="G25" s="1"/>
  <c r="H26"/>
  <c r="G26" s="1"/>
  <c r="F6" i="4"/>
  <c r="G6"/>
  <c r="G7"/>
  <c r="F8"/>
  <c r="G8"/>
  <c r="G10"/>
  <c r="F11"/>
  <c r="G11"/>
  <c r="F13"/>
  <c r="G13"/>
  <c r="F14"/>
  <c r="F17"/>
  <c r="G17"/>
  <c r="E4" i="17"/>
  <c r="E5"/>
  <c r="F5"/>
  <c r="E6"/>
  <c r="F6"/>
  <c r="E7"/>
  <c r="F7"/>
  <c r="E8"/>
  <c r="F8"/>
  <c r="E9"/>
  <c r="F9"/>
  <c r="E10"/>
  <c r="F10"/>
  <c r="E11"/>
  <c r="F11"/>
  <c r="E12"/>
  <c r="F12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F26"/>
  <c r="E27"/>
  <c r="F27"/>
  <c r="E28"/>
  <c r="F28"/>
  <c r="E29"/>
  <c r="F29"/>
  <c r="E30"/>
  <c r="F30"/>
  <c r="E31"/>
  <c r="F31"/>
  <c r="E32"/>
  <c r="F32"/>
  <c r="E33"/>
  <c r="F33"/>
  <c r="F34"/>
  <c r="F35"/>
  <c r="D4" i="16"/>
  <c r="G4"/>
  <c r="E5"/>
  <c r="F5"/>
  <c r="E6"/>
  <c r="F6"/>
  <c r="D7"/>
  <c r="G7"/>
  <c r="E8"/>
  <c r="F8"/>
  <c r="E9"/>
  <c r="F9"/>
  <c r="E10"/>
  <c r="F10"/>
  <c r="E11"/>
  <c r="F11"/>
  <c r="E12"/>
  <c r="F12"/>
  <c r="E13"/>
  <c r="F13"/>
  <c r="E14"/>
  <c r="F14"/>
  <c r="E15"/>
  <c r="F15"/>
  <c r="E16"/>
  <c r="F16"/>
  <c r="D17"/>
  <c r="G17"/>
  <c r="E18"/>
  <c r="F18"/>
  <c r="E19"/>
  <c r="F19"/>
  <c r="E20"/>
  <c r="F20"/>
  <c r="E21"/>
  <c r="F21"/>
  <c r="E22"/>
  <c r="F22"/>
  <c r="E23"/>
  <c r="F23"/>
  <c r="D24"/>
  <c r="G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D34"/>
  <c r="G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G44"/>
  <c r="E44" s="1"/>
  <c r="E45"/>
  <c r="F45"/>
  <c r="E46"/>
  <c r="F46"/>
  <c r="D47"/>
  <c r="G47"/>
  <c r="E48"/>
  <c r="F48"/>
  <c r="E49"/>
  <c r="F49"/>
  <c r="F50"/>
  <c r="E5" i="18"/>
  <c r="F6"/>
  <c r="F7"/>
  <c r="E8"/>
  <c r="F8"/>
  <c r="E10"/>
  <c r="E11"/>
  <c r="E12"/>
  <c r="E14"/>
  <c r="E15"/>
  <c r="E16"/>
  <c r="E17"/>
  <c r="E18"/>
  <c r="E19"/>
  <c r="E20"/>
  <c r="E21"/>
  <c r="E22"/>
  <c r="E23"/>
  <c r="E24"/>
  <c r="F5" i="12"/>
  <c r="E6"/>
  <c r="F6"/>
  <c r="E7"/>
  <c r="F7"/>
  <c r="E8"/>
  <c r="E9"/>
  <c r="F9"/>
  <c r="E10"/>
  <c r="E12"/>
  <c r="E13"/>
  <c r="E14"/>
  <c r="E15"/>
  <c r="E17"/>
  <c r="E18"/>
  <c r="F18"/>
  <c r="E21"/>
  <c r="E22"/>
  <c r="E23"/>
  <c r="E24"/>
  <c r="E25"/>
  <c r="F26"/>
  <c r="E27"/>
  <c r="F27"/>
  <c r="E29"/>
  <c r="F29"/>
  <c r="F30"/>
  <c r="E31"/>
  <c r="E32"/>
  <c r="E33"/>
  <c r="F35"/>
  <c r="E36"/>
  <c r="E38"/>
  <c r="E39"/>
  <c r="E40"/>
  <c r="E41"/>
  <c r="E42"/>
  <c r="E43"/>
  <c r="E44"/>
  <c r="E45"/>
  <c r="E46"/>
  <c r="E48"/>
  <c r="E49"/>
  <c r="E51"/>
  <c r="E53"/>
  <c r="F53"/>
  <c r="E54"/>
  <c r="E55"/>
  <c r="E56"/>
  <c r="E57"/>
  <c r="E58"/>
  <c r="E59"/>
  <c r="E60"/>
  <c r="E61"/>
  <c r="E5" i="13"/>
  <c r="F10"/>
  <c r="F11"/>
  <c r="F12"/>
  <c r="E18"/>
  <c r="F19"/>
  <c r="F24"/>
  <c r="F26"/>
  <c r="F32"/>
  <c r="F34"/>
  <c r="F35"/>
  <c r="F41"/>
  <c r="E46"/>
  <c r="F54"/>
  <c r="F57"/>
  <c r="F5" i="9"/>
  <c r="F6"/>
  <c r="F7"/>
  <c r="F8"/>
  <c r="F9"/>
  <c r="F11"/>
  <c r="F12"/>
  <c r="F13"/>
  <c r="F16"/>
  <c r="F17"/>
  <c r="F19"/>
  <c r="F20"/>
  <c r="F23"/>
  <c r="F25"/>
  <c r="F26"/>
  <c r="F27"/>
  <c r="F28"/>
  <c r="F29"/>
  <c r="F33"/>
  <c r="E35"/>
  <c r="F35"/>
  <c r="F37"/>
  <c r="F38"/>
  <c r="F39"/>
  <c r="F41"/>
  <c r="F45"/>
  <c r="F46"/>
  <c r="F47"/>
  <c r="F49"/>
  <c r="F51"/>
  <c r="F52"/>
  <c r="F53"/>
  <c r="F55"/>
  <c r="F56"/>
  <c r="F57"/>
  <c r="F58"/>
  <c r="F59"/>
  <c r="F60"/>
  <c r="E62"/>
  <c r="F63"/>
  <c r="F64"/>
  <c r="F67"/>
  <c r="F68"/>
  <c r="F71"/>
  <c r="E72"/>
  <c r="F73"/>
  <c r="F74"/>
  <c r="F75"/>
  <c r="F76"/>
  <c r="F80"/>
  <c r="F83"/>
  <c r="F84"/>
  <c r="D5" i="10"/>
  <c r="E5"/>
  <c r="D6"/>
  <c r="E6"/>
  <c r="D7"/>
  <c r="E7"/>
  <c r="E8"/>
  <c r="E9"/>
  <c r="D10"/>
  <c r="E10"/>
  <c r="D11"/>
  <c r="E11"/>
  <c r="D12"/>
  <c r="E13"/>
  <c r="D14"/>
  <c r="E14"/>
  <c r="D15"/>
  <c r="E15"/>
  <c r="D16"/>
  <c r="E16"/>
  <c r="D17"/>
  <c r="E17"/>
  <c r="D18"/>
  <c r="D19"/>
  <c r="D20"/>
  <c r="D21"/>
  <c r="D22"/>
  <c r="D23"/>
  <c r="D24"/>
  <c r="D25"/>
  <c r="D26"/>
  <c r="D28"/>
  <c r="E29"/>
  <c r="E30"/>
  <c r="E32"/>
  <c r="E33"/>
  <c r="E34"/>
  <c r="E35"/>
  <c r="D36"/>
  <c r="E36"/>
  <c r="D38"/>
  <c r="E38"/>
  <c r="E39"/>
  <c r="E40"/>
  <c r="E41"/>
  <c r="E42"/>
  <c r="E43"/>
  <c r="E44"/>
  <c r="D45"/>
  <c r="E46"/>
  <c r="E49"/>
  <c r="E50"/>
  <c r="E52"/>
  <c r="D55"/>
  <c r="D56"/>
  <c r="D57"/>
  <c r="D59"/>
  <c r="E59"/>
  <c r="E60"/>
  <c r="E61"/>
  <c r="E62"/>
  <c r="E63"/>
  <c r="E64"/>
  <c r="F67"/>
  <c r="E67" s="1"/>
  <c r="D5" i="11"/>
  <c r="E5"/>
  <c r="E7"/>
  <c r="D8"/>
  <c r="D9"/>
  <c r="E9"/>
  <c r="D10"/>
  <c r="E11"/>
  <c r="D12"/>
  <c r="D13"/>
  <c r="D15"/>
  <c r="E16"/>
  <c r="E17"/>
  <c r="E21"/>
  <c r="D22"/>
  <c r="E24"/>
  <c r="E25"/>
  <c r="E26"/>
  <c r="E27"/>
  <c r="D29"/>
  <c r="E30"/>
  <c r="E32"/>
  <c r="D34"/>
  <c r="D35"/>
  <c r="E35"/>
  <c r="D36"/>
  <c r="D38"/>
  <c r="E38"/>
  <c r="D40"/>
  <c r="F4" i="19"/>
  <c r="E4" s="1"/>
  <c r="F6"/>
  <c r="E6" s="1"/>
  <c r="F7"/>
  <c r="F8"/>
  <c r="D8" s="1"/>
  <c r="F10"/>
  <c r="E10" s="1"/>
  <c r="F11"/>
  <c r="E11" s="1"/>
  <c r="C15"/>
  <c r="F7" i="6" l="1"/>
  <c r="E11" i="12"/>
  <c r="F11"/>
  <c r="E47"/>
  <c r="F47"/>
  <c r="H4" i="6"/>
  <c r="G4" s="1"/>
  <c r="E52" i="12"/>
  <c r="F52"/>
  <c r="D7" i="19"/>
  <c r="F16" i="4"/>
  <c r="E37" i="11"/>
  <c r="G5" i="4"/>
  <c r="E27" i="10"/>
  <c r="F3"/>
  <c r="D3" s="1"/>
  <c r="G4" i="19" s="1"/>
  <c r="E4" i="11"/>
  <c r="E54" i="9"/>
  <c r="D27" i="10"/>
  <c r="H12" i="4"/>
  <c r="G12" s="1"/>
  <c r="E19" i="12"/>
  <c r="F44" i="16"/>
  <c r="E47"/>
  <c r="E17"/>
  <c r="E7"/>
  <c r="G5" i="6"/>
  <c r="G15" i="4"/>
  <c r="D4" i="11"/>
  <c r="E48" i="10"/>
  <c r="E53" i="13"/>
  <c r="G3"/>
  <c r="F3" s="1"/>
  <c r="E17"/>
  <c r="G59" i="5"/>
  <c r="G45"/>
  <c r="F5"/>
  <c r="F25"/>
  <c r="F45"/>
  <c r="E4" i="13"/>
  <c r="E44" i="9"/>
  <c r="E28" i="11"/>
  <c r="F33" i="13"/>
  <c r="E3" i="19"/>
  <c r="D5"/>
  <c r="F53" i="13"/>
  <c r="E33"/>
  <c r="F23"/>
  <c r="E78" i="9"/>
  <c r="E24"/>
  <c r="E37" i="10"/>
  <c r="E58" i="5"/>
  <c r="F58" s="1"/>
  <c r="F59"/>
  <c r="F4" i="18"/>
  <c r="E28" i="12"/>
  <c r="F4"/>
  <c r="F14" i="9"/>
  <c r="D14" i="11"/>
  <c r="E7" i="19"/>
  <c r="D3" i="16"/>
  <c r="F9" i="19" s="1"/>
  <c r="E9" s="1"/>
  <c r="E58" i="10"/>
  <c r="F34" i="9"/>
  <c r="F47" i="16"/>
  <c r="G3" i="9"/>
  <c r="E3" s="1"/>
  <c r="G5" i="19" s="1"/>
  <c r="F40" i="11"/>
  <c r="F3" s="1"/>
  <c r="E3" s="1"/>
  <c r="E23"/>
  <c r="F4" i="9"/>
  <c r="F16" i="12"/>
  <c r="F25" i="17"/>
  <c r="F13"/>
  <c r="G9" i="4"/>
  <c r="G17" i="6"/>
  <c r="G62" i="5"/>
  <c r="E34"/>
  <c r="G34" s="1"/>
  <c r="F26"/>
  <c r="G5"/>
  <c r="G26"/>
  <c r="G3" i="18"/>
  <c r="I8" i="19" s="1"/>
  <c r="D4" i="10"/>
  <c r="E4" i="9"/>
  <c r="E34" i="16"/>
  <c r="E24"/>
  <c r="G3"/>
  <c r="F3" s="1"/>
  <c r="F17" i="6"/>
  <c r="F62" i="5"/>
  <c r="F16" i="6"/>
  <c r="G16"/>
  <c r="G4" i="5"/>
  <c r="F4" i="6"/>
  <c r="G61" i="5"/>
  <c r="F61"/>
  <c r="D11" i="19"/>
  <c r="E8"/>
  <c r="D4"/>
  <c r="F34" i="16"/>
  <c r="F24"/>
  <c r="F17"/>
  <c r="F7"/>
  <c r="F4"/>
  <c r="G3" i="12"/>
  <c r="F3" s="1"/>
  <c r="E4" i="16"/>
  <c r="G3" i="17"/>
  <c r="D10" i="19"/>
  <c r="D6"/>
  <c r="D3"/>
  <c r="I9" l="1"/>
  <c r="H9" s="1"/>
  <c r="H4" i="4"/>
  <c r="F4" s="1"/>
  <c r="F12"/>
  <c r="D9" i="19"/>
  <c r="F34" i="5"/>
  <c r="H3"/>
  <c r="G58"/>
  <c r="H8" i="19"/>
  <c r="E3" i="18"/>
  <c r="G8" i="19" s="1"/>
  <c r="F3" i="18"/>
  <c r="E3" i="5"/>
  <c r="F13" i="19" s="1"/>
  <c r="F15" s="1"/>
  <c r="F20" i="5"/>
  <c r="F23"/>
  <c r="G25"/>
  <c r="D3" i="11"/>
  <c r="G3" i="19" s="1"/>
  <c r="E3" i="10"/>
  <c r="I4" i="19"/>
  <c r="H4" s="1"/>
  <c r="E3" i="12"/>
  <c r="G7" i="19" s="1"/>
  <c r="I6"/>
  <c r="H6" s="1"/>
  <c r="I5"/>
  <c r="F3" i="9"/>
  <c r="E3" i="13"/>
  <c r="G6" i="19" s="1"/>
  <c r="I3"/>
  <c r="F4" i="5"/>
  <c r="E3" i="16"/>
  <c r="G9" i="19" s="1"/>
  <c r="I7"/>
  <c r="F3" i="17"/>
  <c r="E3"/>
  <c r="G10" i="19" s="1"/>
  <c r="I10"/>
  <c r="H10" s="1"/>
  <c r="H3" i="4" l="1"/>
  <c r="G3" s="1"/>
  <c r="G4"/>
  <c r="D13" i="19"/>
  <c r="D15"/>
  <c r="H5"/>
  <c r="H3"/>
  <c r="I13"/>
  <c r="H7"/>
  <c r="H10" i="6"/>
  <c r="F10" s="1"/>
  <c r="G12"/>
  <c r="F12"/>
  <c r="H13" i="19" l="1"/>
  <c r="F3" i="4"/>
  <c r="G11" i="19" s="1"/>
  <c r="I11"/>
  <c r="H11" s="1"/>
  <c r="F3" i="5"/>
  <c r="G13" i="19" s="1"/>
  <c r="G3" i="5"/>
  <c r="E15" i="19"/>
  <c r="G10" i="6"/>
  <c r="G9" s="1"/>
  <c r="H9"/>
  <c r="F9" l="1"/>
  <c r="H3"/>
  <c r="I12" i="19" l="1"/>
  <c r="I15" s="1"/>
  <c r="F3" i="6"/>
  <c r="G12" i="19" s="1"/>
  <c r="G3" i="6"/>
  <c r="H12" i="19" l="1"/>
  <c r="H15"/>
</calcChain>
</file>

<file path=xl/sharedStrings.xml><?xml version="1.0" encoding="utf-8"?>
<sst xmlns="http://schemas.openxmlformats.org/spreadsheetml/2006/main" count="782" uniqueCount="437">
  <si>
    <t>Objeto del Gasto</t>
  </si>
  <si>
    <t>DESCRIPCIÓN</t>
  </si>
  <si>
    <t>SERVICIOS PERSONALES</t>
  </si>
  <si>
    <t>REMUNERACIONES AL PERSONAL DE CARÁCTER PERMANENTE</t>
  </si>
  <si>
    <t>Dietas</t>
  </si>
  <si>
    <t>Haberes</t>
  </si>
  <si>
    <t>Sueldos base al personal permanente</t>
  </si>
  <si>
    <t>Remuneraciones por adscripción laboral en el extranjero</t>
  </si>
  <si>
    <t>REMUNERACIONES AL PERSONAL DE CARÁCTER TRANSITORIO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</si>
  <si>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</si>
  <si>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</si>
  <si>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</si>
  <si>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</si>
  <si>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REMUNERACIONES ADICIONALES Y ESPECIALES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</si>
  <si>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</si>
  <si>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</si>
  <si>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</si>
  <si>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</si>
  <si>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Sobrehaberes</t>
  </si>
  <si>
    <t>Asignaciones de técnico, de mando, por comisión, de vuelo y de técnico especial</t>
  </si>
  <si>
    <t>Honorarios especiales</t>
  </si>
  <si>
    <t>Participaciones por vigilancia en el cumplimiento de la leyes y custodia de valores</t>
  </si>
  <si>
    <t>SEGURIDAD SOCIAL</t>
  </si>
  <si>
    <t>Aportaciones de seguridad social</t>
  </si>
  <si>
    <t>Aportaciones a fondos de vivienda</t>
  </si>
  <si>
    <t>Aportaciones al sistema para el retiro</t>
  </si>
  <si>
    <t>Aportaciones para seguros</t>
  </si>
  <si>
    <t>OTRAS PRESTACIONES SOCIALES Y ECONÓMICAS</t>
  </si>
  <si>
    <t>Cuotas para el fondo de ahorro y fondo de trabajo</t>
  </si>
  <si>
    <t>Indemnizaciones</t>
  </si>
  <si>
    <t>Prestaciones y haberes de retiro</t>
  </si>
  <si>
    <t>Prestaciones contractuales</t>
  </si>
  <si>
    <t>Apoyos a la capacitación de los servidores públicos</t>
  </si>
  <si>
    <t>Otras prestaciones sociales y económicas</t>
  </si>
  <si>
    <t>PREVISIONES</t>
  </si>
  <si>
    <t>Previsiones de carácter laboral, económica y de seguridad social</t>
  </si>
  <si>
    <t>PAGO DE ESTÍMULOS A SERVIDORES PÚBLICOS</t>
  </si>
  <si>
    <t>Estímulos</t>
  </si>
  <si>
    <t>Recompensas</t>
  </si>
  <si>
    <t>IMPUESTO SOBRE NÓMINAS Y OTROS QUE SE DERIVEN DE UNA RELACIÓN LABORAL</t>
  </si>
  <si>
    <t>Impuesto sobre nóminas</t>
  </si>
  <si>
    <t>Otros impuestos derivados de una relación laboral</t>
  </si>
  <si>
    <t>MATERIALES Y SUMINISTROS</t>
  </si>
  <si>
    <t>MATERIALES DE ADMINISTRACIÓN, EMISIÓN DE DOCUMENTOS Y ARTÍCULOS OFICIALES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</si>
  <si>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</si>
  <si>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</si>
  <si>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</si>
  <si>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</si>
  <si>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</si>
  <si>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</si>
  <si>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</si>
  <si>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</si>
  <si>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ALIMENTOS Y UTENSILIOS</t>
  </si>
  <si>
    <t>Productos alimenticios para personas</t>
  </si>
  <si>
    <t>Productos alimenticios para animales</t>
  </si>
  <si>
    <t>Utensilios para el servicio de alimentación</t>
  </si>
  <si>
    <t>MATERIAS PRIMAS Y MATERIALES DE PRODUCCIÓN Y COMERCIALIZACIÓN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</si>
  <si>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</si>
  <si>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</si>
  <si>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</si>
  <si>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</si>
  <si>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</si>
  <si>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</si>
  <si>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</si>
  <si>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</si>
  <si>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</si>
  <si>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MATERIALES Y ARTÍCULOS DE CONSTRUCCIÓN Y DE REPARACIÓN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</si>
  <si>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</si>
  <si>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</si>
  <si>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</si>
  <si>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</si>
  <si>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</si>
  <si>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</si>
  <si>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</si>
  <si>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</si>
  <si>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</si>
  <si>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QUÍMICOS, FARMACÉUTICOS Y DE LABORATORIO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</si>
  <si>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</si>
  <si>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</si>
  <si>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</si>
  <si>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</si>
  <si>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</si>
  <si>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 plásticos y derivados</t>
  </si>
  <si>
    <t>Otros productos químicos</t>
  </si>
  <si>
    <t>COMBUSTIBLES, LUBRICANTES Y ADITIVOS</t>
  </si>
  <si>
    <t>Combustibles, lubricantes y aditivos</t>
  </si>
  <si>
    <t>Carbón y sus derivados</t>
  </si>
  <si>
    <t>VESTUARIO, BLANCOS, PRENDAS DE PROTECCIÓN Y ARTÍCULOS DEPORTIVOS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</si>
  <si>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</si>
  <si>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</si>
  <si>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</si>
  <si>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</si>
  <si>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</si>
  <si>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MATERIALES Y SUMINISTROS PARA SEGURIDAD</t>
  </si>
  <si>
    <t>Sustancias y materiales explosivos</t>
  </si>
  <si>
    <t>Materiales de seguridad pública</t>
  </si>
  <si>
    <t>Prendas de protección para seguridad pública y nacional</t>
  </si>
  <si>
    <t>HERRAMIENTAS, REFACCIONES Y ACCESORIOS MENORES</t>
  </si>
  <si>
    <t>Herramientas menores</t>
  </si>
  <si>
    <t>Refacciones y accesorios menores de edificios</t>
  </si>
  <si>
    <t>Refacciones y accesorios menores de mobiliario 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</si>
  <si>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</si>
  <si>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</si>
  <si>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</si>
  <si>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</si>
  <si>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</si>
  <si>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</si>
  <si>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SERVICIOS GENERALES</t>
  </si>
  <si>
    <t>SERVICIOS BÁSICOS</t>
  </si>
  <si>
    <t>Energía eléctrica</t>
  </si>
  <si>
    <t xml:space="preserve">Gas </t>
  </si>
  <si>
    <t>Agua</t>
  </si>
  <si>
    <t>Telefonía tradicional</t>
  </si>
  <si>
    <t>Telefonía celular</t>
  </si>
  <si>
    <t>Servicios de telecomunicaciones y satélites</t>
  </si>
  <si>
    <t>Servicios de acceso de Internet, redes y procedimiento de información</t>
  </si>
  <si>
    <t>Servicios postales y telegráficos</t>
  </si>
  <si>
    <t>Servicios integrales y otros servicios</t>
  </si>
  <si>
    <t>SERVICIOS DE ARRENDAMIENTO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</si>
  <si>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</si>
  <si>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</si>
  <si>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</si>
  <si>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</si>
  <si>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</si>
  <si>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</si>
  <si>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</si>
  <si>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</si>
  <si>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</si>
  <si>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PROFESIONALES, CIENTÍFICOS, TÉCNICOS Y OTROS SERVICIOS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</si>
  <si>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</si>
  <si>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</si>
  <si>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</si>
  <si>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capacitación</t>
  </si>
  <si>
    <t>Servicios de investigación científica y desarrollo</t>
  </si>
  <si>
    <t>Servicios de apoyo administrativo, fotocopiado e impresión</t>
  </si>
  <si>
    <t>Servicios de protección y seguridad</t>
  </si>
  <si>
    <t>Servicios de vigilancia</t>
  </si>
  <si>
    <t>Servicios profesionales, científicos y técnicos integrales</t>
  </si>
  <si>
    <t>SERVICIOS FINANCIEROS, BANCARIOS Y COMERCIALES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</si>
  <si>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</si>
  <si>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</si>
  <si>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</si>
  <si>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</si>
  <si>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</si>
  <si>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Almacenaje, envase y embalaje</t>
  </si>
  <si>
    <t>Fletes y maniobras</t>
  </si>
  <si>
    <t>Comisiones por ventas</t>
  </si>
  <si>
    <t>Servicios financieros, bancarios y comerciales integrales</t>
  </si>
  <si>
    <t>SERVICIOS DE INSTALACIÓN, REPARACIÓN, MANTENIMIENTO Y CONSERVACIÓN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</si>
  <si>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</si>
  <si>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</si>
  <si>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</si>
  <si>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</si>
  <si>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</si>
  <si>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</si>
  <si>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</si>
  <si>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</si>
  <si>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</si>
  <si>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SERVICIOS DE COMUNICACIÓN SOCIAL Y PUBLICIDAD</t>
  </si>
  <si>
    <t>Difusión por radio, televisión y otros medios de mensajes sobre programas y actividades gubernamentales</t>
  </si>
  <si>
    <t>Difusión por radio,  televisión y otros medios de mensajes comerciales para promover la venta de bienes o servicios</t>
  </si>
  <si>
    <t>Servicios de creatividad, preproducción y producción de publicidad, excepto Internet</t>
  </si>
  <si>
    <t>Servicios de revelado de  fotografías</t>
  </si>
  <si>
    <t>Servicios de la industria fílmica, del sonido y del video</t>
  </si>
  <si>
    <t>Servicio de creación y difusión de contenido exclusivamente a  través de Internet</t>
  </si>
  <si>
    <t>Otros servicios de información</t>
  </si>
  <si>
    <t>SERVICIOS DE TRASLADO Y VIÁTICOS</t>
  </si>
  <si>
    <t>Pasajes aéreos</t>
  </si>
  <si>
    <t>Pasajes terrestres</t>
  </si>
  <si>
    <t>Pasajes marítimos, lacustres y fluviales</t>
  </si>
  <si>
    <t>Autotransporte</t>
  </si>
  <si>
    <t>Viáticos en el país</t>
  </si>
  <si>
    <t xml:space="preserve">Viáticos en el extranjero </t>
  </si>
  <si>
    <t>Gastos de instalación y traslado de menaje</t>
  </si>
  <si>
    <t>Servicios integrales de traslado y viáticos</t>
  </si>
  <si>
    <t>Otros servicios de traslado y hospedaje</t>
  </si>
  <si>
    <t>SERVICIOS OFICIALES</t>
  </si>
  <si>
    <t>Gastos de ceremonial</t>
  </si>
  <si>
    <t>Gastos de orden  social y cultural</t>
  </si>
  <si>
    <t>Congresos y convenciones</t>
  </si>
  <si>
    <t>Exposiciones</t>
  </si>
  <si>
    <t>Gastos de representación</t>
  </si>
  <si>
    <t>OTROS SERVICIOS GENERALES</t>
  </si>
  <si>
    <t>Servicios funerarios y de cementerios</t>
  </si>
  <si>
    <t>Impuestos y derechos</t>
  </si>
  <si>
    <t>Impuestos y derechos de importación</t>
  </si>
  <si>
    <t>Penas, multas, accesorios y actualizaciones</t>
  </si>
  <si>
    <t>Otros gastos por responsabilidades</t>
  </si>
  <si>
    <t>Otros servicios generales</t>
  </si>
  <si>
    <t>TRANSFERENCIAS, ASIGNACIONES, SUBSIDIOS Y OTRAS  AYUDAS</t>
  </si>
  <si>
    <t>TRANSFERENCIAS INTERNAS Y ASIGNACIONES AL SECTOR PÚBLICO</t>
  </si>
  <si>
    <t>Asignaciones presupuestarias al Poder Ejecutivo</t>
  </si>
  <si>
    <t>Asignaciones presupuestarias al Poder Legislativo</t>
  </si>
  <si>
    <t>Asignaciones presupuestarias al Poder Judicial</t>
  </si>
  <si>
    <t>Asignaciones presupuestarias a Órganos Autónomos</t>
  </si>
  <si>
    <t>Transferencias internas otorgadas a entidades paraestatales no empresariales y no financieras</t>
  </si>
  <si>
    <t>COMUDE</t>
  </si>
  <si>
    <t>DIF</t>
  </si>
  <si>
    <t>SERVICIOS DE SALUD</t>
  </si>
  <si>
    <t>Transferencias internas otorgadas a entidades paraestatales empresariales y no financieras</t>
  </si>
  <si>
    <t>Transferencias internas otorgadas a fideicomisos públicos empresariales y no financieros</t>
  </si>
  <si>
    <t>Transferencias internas otorgadas a instituciones paraestatales públicas financieras</t>
  </si>
  <si>
    <t>Transferencias internas otorgadas a fideicomisos públicos financieros</t>
  </si>
  <si>
    <t>TRANSFERENCIAS  AL RESTO DEL SECTOR PÚBLICO</t>
  </si>
  <si>
    <t>Transferencias otorgadas a entidades paraestatales no empresariales y no financieras</t>
  </si>
  <si>
    <t>Transferencias otorgadas para entidades paraestatales empresariales y no financieras</t>
  </si>
  <si>
    <t xml:space="preserve">Transferencias otorgadas para instituciones paraestatales públicas financieras  </t>
  </si>
  <si>
    <t>Transferencias otorgadas a entidades federativas y municipios</t>
  </si>
  <si>
    <t>Transferencias a fideicomisos de entidades federativas y municipios</t>
  </si>
  <si>
    <t>SUBSIDIOS Y SUBVENCIONES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</si>
  <si>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</si>
  <si>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</si>
  <si>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</si>
  <si>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</si>
  <si>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</si>
  <si>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 xml:space="preserve">Subsidios a la vivienda </t>
  </si>
  <si>
    <t>Subvenciones al consumo</t>
  </si>
  <si>
    <t>Otros Subsidios</t>
  </si>
  <si>
    <t>AYUDAS SOCIALES</t>
  </si>
  <si>
    <t xml:space="preserve">Ayudas sociales a personas 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</si>
  <si>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</si>
  <si>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</si>
  <si>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</si>
  <si>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</si>
  <si>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</si>
  <si>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</si>
  <si>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</si>
  <si>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 Y JUBILACIONES</t>
  </si>
  <si>
    <t>Pensiones</t>
  </si>
  <si>
    <t>Jubilaciones</t>
  </si>
  <si>
    <t>TRANSFERENCIAS A FIDEICOMISOS, MANDATOS Y OTROS ANÁLOGOS</t>
  </si>
  <si>
    <t>Transferencias a fideicomisos del Poder Ejecutivo</t>
  </si>
  <si>
    <t>Transferencias a fideicomisos del Poder Legislativo</t>
  </si>
  <si>
    <t>Transferencias a fideicomisos del Poder Judicial</t>
  </si>
  <si>
    <t>Trasferencias a fideicomisos públicos de entidades paraestatales no empresariales y no financieras</t>
  </si>
  <si>
    <t>Transferencias a fideicomisos públicos de entidades paraestatales empresariales y no financieras</t>
  </si>
  <si>
    <t>Transferencias a fideicomisos  de  instituciones públicas financieras</t>
  </si>
  <si>
    <t>TRANSFERENCIAS AL EXTERIOR</t>
  </si>
  <si>
    <t>Transferencias para gobiernos extranjeros</t>
  </si>
  <si>
    <t>Transferencias para organismos internacionales</t>
  </si>
  <si>
    <t>Transferencias para el sector privado externo</t>
  </si>
  <si>
    <t xml:space="preserve">BIENES MUEBLES, INMUEBLES E  INTANGIBLES </t>
  </si>
  <si>
    <t>MOBILIARIO Y EQUIPO DE ADMINISTRACIÓN</t>
  </si>
  <si>
    <t xml:space="preserve">Muebles de oficina y estantería </t>
  </si>
  <si>
    <t>Muebles, excepto de oficina y estantería</t>
  </si>
  <si>
    <t>Bienes artísticos, culturales y científicos</t>
  </si>
  <si>
    <t>Objetos de valor</t>
  </si>
  <si>
    <t>Equipo de cómputo de tecnologías de la información</t>
  </si>
  <si>
    <t>Otros mobiliarios y equipos de administración</t>
  </si>
  <si>
    <t>MOBILIARIO Y EQUIPO EDUCACIONAL Y RECREATIVO</t>
  </si>
  <si>
    <t>Equipos y aparatos audiovisuales</t>
  </si>
  <si>
    <t>Aparatos deportivos</t>
  </si>
  <si>
    <t>Cámaras fotográficas y de video</t>
  </si>
  <si>
    <t xml:space="preserve">Otro mobiliario y equipo educacional y recreativo </t>
  </si>
  <si>
    <t>EQUIPO E INSTRUMENTAL MÉDICO Y DE LABORATORIO</t>
  </si>
  <si>
    <t>Equipo médico y de laboratorio</t>
  </si>
  <si>
    <t>Instrumental médico y laboratorio</t>
  </si>
  <si>
    <t>VEHÍCULOS Y EQUIPO DE TRANSPORTE</t>
  </si>
  <si>
    <t>Automóviles y camiones</t>
  </si>
  <si>
    <t>541-1</t>
  </si>
  <si>
    <t>Carrocerías  y remolques</t>
  </si>
  <si>
    <t>Equipo aeroespacial</t>
  </si>
  <si>
    <t>Equipo ferroviario</t>
  </si>
  <si>
    <t>Embarcaciones</t>
  </si>
  <si>
    <t>Otros equipo de transporte</t>
  </si>
  <si>
    <t>EQUIPO DE DEFENSA Y SEGURIDAD</t>
  </si>
  <si>
    <t>Equipo de defensa y seguridad</t>
  </si>
  <si>
    <t>MAQUINARIA, OTROS EQUIPOS Y HERRAMIENTAS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</si>
  <si>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</si>
  <si>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</si>
  <si>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</si>
  <si>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</si>
  <si>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</si>
  <si>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 de generación eléctrica, aparatos y accesorios eléctricos</t>
  </si>
  <si>
    <t>Herramientas y máquinas-herramienta</t>
  </si>
  <si>
    <t>Otros equipos</t>
  </si>
  <si>
    <t>ACTIVOS BIOLÓGICOS</t>
  </si>
  <si>
    <t>Bovinos</t>
  </si>
  <si>
    <t>Porcinos</t>
  </si>
  <si>
    <t>Aves</t>
  </si>
  <si>
    <t xml:space="preserve">Ovinos y caprinos </t>
  </si>
  <si>
    <t>Peces y acuicultura</t>
  </si>
  <si>
    <t>Equinos</t>
  </si>
  <si>
    <t>Especies menores y de zoológico</t>
  </si>
  <si>
    <t>Árboles y plantas</t>
  </si>
  <si>
    <t>Otros activos biológicos</t>
  </si>
  <si>
    <t>BIENES INMUEBLES</t>
  </si>
  <si>
    <t>Terrenos</t>
  </si>
  <si>
    <t xml:space="preserve">Viviendas </t>
  </si>
  <si>
    <t>Edificios no residenciales</t>
  </si>
  <si>
    <t>Otros bienes inmuebles</t>
  </si>
  <si>
    <t>ACTIVOS INTANGIBLES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</si>
  <si>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</si>
  <si>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</si>
  <si>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</si>
  <si>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</si>
  <si>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</si>
  <si>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</si>
  <si>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</si>
  <si>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</si>
  <si>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</si>
  <si>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INVERSIÓN PÚBLICA</t>
  </si>
  <si>
    <t>OBRA PÚBLICA EN BIENES DE DOMINIO PÚBLICO</t>
  </si>
  <si>
    <t>Edificación habitacional</t>
  </si>
  <si>
    <t>Edificación no 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</si>
  <si>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</si>
  <si>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</si>
  <si>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</si>
  <si>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</si>
  <si>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construcciones</t>
  </si>
  <si>
    <t>Trabajo de acabados en edificaciones  y otros trabajos especializados</t>
  </si>
  <si>
    <t>OBRA PÚBLICA EN BIENES PROPIOS</t>
  </si>
  <si>
    <t>Edificación no habitacional</t>
  </si>
  <si>
    <t>Construcción de obras para  el abastecimiento de agua,  petróleo, gas, electricidad y telecomunicaciones</t>
  </si>
  <si>
    <t>Trabajos de acabados en edificaciones y otros trabajos especializados</t>
  </si>
  <si>
    <t>PROYECTOS PRODUCTIVOS Y ACCIONES DE FOMENTO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</si>
  <si>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</si>
  <si>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</si>
  <si>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INVERSIONES FINANCIERAS Y OTRAS PROVISIONES</t>
  </si>
  <si>
    <t>INVERSIONES PARA EL FOMENTO DE ACTIVIDADES PRODUCTIVAS</t>
  </si>
  <si>
    <t>Créditos otorgados por entidades federativas y municipios al sector social y privado para el fomento de actividades productivas</t>
  </si>
  <si>
    <t>Créditos otorgados por las entidades federativas a municipios para el fomento de actividades productivas</t>
  </si>
  <si>
    <t>ACCIONES Y PARTICIPACIONES DE CAPITAL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</si>
  <si>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</si>
  <si>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política económica</t>
  </si>
  <si>
    <t>Acciones  y participaciones de capital en instituciones paraestatales públicas financieras con fines de política económica</t>
  </si>
  <si>
    <t>Acciones y participaciones 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</si>
  <si>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</si>
  <si>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</si>
  <si>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la liquidez</t>
  </si>
  <si>
    <t>Acciones y participaciones de capital  en el sector privado con fines de gestión de liquidez</t>
  </si>
  <si>
    <t>Acciones y participaciones de capital en el sector externo con fines de gestión  de liquidez</t>
  </si>
  <si>
    <t>COMPRA DE TÍTULOS Y VALORES</t>
  </si>
  <si>
    <t>Bonos</t>
  </si>
  <si>
    <t>Valores representativos de deuda adquiridos con fines de política económica</t>
  </si>
  <si>
    <t>Valores representativos de deuda  adquiridos con fines de gestión de liquidez</t>
  </si>
  <si>
    <t>Obligaciones negociables adquiridas con fines de política económica</t>
  </si>
  <si>
    <t>Obligaciones negociables adquiridas con fines de gestión de liquidez</t>
  </si>
  <si>
    <t>Otros valores</t>
  </si>
  <si>
    <t>CONCESIÓN DE PRÉSTAMOS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</si>
  <si>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</si>
  <si>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</si>
  <si>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instituciones paraestatales públicas financieras con fines de política económica</t>
  </si>
  <si>
    <t>Concesión de préstamos a entidades federativas  y municipios con fines de política económica</t>
  </si>
  <si>
    <t>Concesión de préstamos al sector privado con fines de política económica</t>
  </si>
  <si>
    <t>Concesión de préstamos al sector externo con fines de política económica</t>
  </si>
  <si>
    <t>Concesión de préstamos al sector público con fines de gestión de liquidez</t>
  </si>
  <si>
    <t>Concesión de préstamos al sector privado con fines de gestión de liquidez</t>
  </si>
  <si>
    <t>Concesión de  préstamos al sector externo con fines de gestión de liquidez</t>
  </si>
  <si>
    <t>INVERSIONES EN FIDEICOMISOS, MANDATOS Y OTROS  ANÁLOGOS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</si>
  <si>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</si>
  <si>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</si>
  <si>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</si>
  <si>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 y no financieros</t>
  </si>
  <si>
    <t>Inversiones en fideicomisos públicos empresariales y no financieros</t>
  </si>
  <si>
    <t xml:space="preserve">Inversiones en fideicomisos públicos financieros </t>
  </si>
  <si>
    <t>Inversiones en fideicomisos de entidades federativas</t>
  </si>
  <si>
    <t>Inversiones en fideicomisos de municipios</t>
  </si>
  <si>
    <t>Fideicomisos de empresas privadas y particulares</t>
  </si>
  <si>
    <t>OTRAS INVERSIONES FINANCIERAS</t>
  </si>
  <si>
    <t>Depósitos a largo plazo en moneda nacional</t>
  </si>
  <si>
    <t>Depósitos a largo plazo en moneda extranjera</t>
  </si>
  <si>
    <t>PROVISIONES PARA CONTINGENCIAS Y OTRAS EROGACIONES ESPECIALES</t>
  </si>
  <si>
    <t>Contingencias  por fenómenos naturales</t>
  </si>
  <si>
    <t>Contingencias socioeconómicas</t>
  </si>
  <si>
    <t>Otras erogaciones especiales</t>
  </si>
  <si>
    <t>DEUDA  PÚBLICA</t>
  </si>
  <si>
    <t xml:space="preserve">AMORTIZACIÓN DE LA DEUDA PÚBLICA </t>
  </si>
  <si>
    <t>Amortización de la deuda interna con instituciones de crédito</t>
  </si>
  <si>
    <t>Amortización  de la deuda interna por emisión de títulos y valores</t>
  </si>
  <si>
    <t xml:space="preserve">Amortización de la deuda externa con instituciones de crédito </t>
  </si>
  <si>
    <t>Amortización de deuda externa con organismos financieros internacionales</t>
  </si>
  <si>
    <t>Amortización de la deuda bilateral</t>
  </si>
  <si>
    <t>Amortización de la deuda externa por emisión de títulos y valores</t>
  </si>
  <si>
    <t>Amortización de arrendamientos financieros internacionales</t>
  </si>
  <si>
    <t>INTERESES DE LA DEUDA PÚBLICA</t>
  </si>
  <si>
    <t>Intereses de la deuda interna con instituciones  de crédito</t>
  </si>
  <si>
    <t>921-1</t>
  </si>
  <si>
    <t>Intereses derivados de la colocación de títulos y valores</t>
  </si>
  <si>
    <t>Intereses por arrendamientos  financieros nacionales</t>
  </si>
  <si>
    <t xml:space="preserve">Intereses de la deuda externa con instituciones de crédito </t>
  </si>
  <si>
    <t>Intereses de la deuda con organismos financieros internacionales</t>
  </si>
  <si>
    <t xml:space="preserve">Intereses de la deuda bilateral  </t>
  </si>
  <si>
    <t>Intereses derivados de la colocación de títulos y valores en el exterior</t>
  </si>
  <si>
    <t>Intereses por arrendamientos financieros internacionales</t>
  </si>
  <si>
    <t>COMISIONES DE LA DEUDA PÚBLICA</t>
  </si>
  <si>
    <t>Comisión de la deuda pública interna</t>
  </si>
  <si>
    <t>Comisiones de la deuda pública externa</t>
  </si>
  <si>
    <t>GASTOS DE LA DEUDA PÚBLICA</t>
  </si>
  <si>
    <t>Gastos de la deuda pública interna</t>
  </si>
  <si>
    <t>Gastos de la deuda  pública externa</t>
  </si>
  <si>
    <t>COSTO POR COBERTURAS</t>
  </si>
  <si>
    <t>Costos por cobertura de la deuda pública interna</t>
  </si>
  <si>
    <t>Costos por cobertura de la deuda pública externa</t>
  </si>
  <si>
    <t>APOYOS FINANCIEROS</t>
  </si>
  <si>
    <t>Apoyos a intermediarios financieros</t>
  </si>
  <si>
    <t>Apoyos a ahorradores y deudores del Sistema Financiero Nacional</t>
  </si>
  <si>
    <t>ADEUDOS DE EJERCICIOS FISCALES ANTERIORES (ADEFAS)</t>
  </si>
  <si>
    <t>ADEFAS</t>
  </si>
  <si>
    <t>SUBSEMUN</t>
  </si>
  <si>
    <t>Donativos a Fideicomisos Estatales</t>
  </si>
  <si>
    <t xml:space="preserve">DONATIVOS </t>
  </si>
  <si>
    <t>Fondo Infraestructura 2009</t>
  </si>
  <si>
    <t>Fondo Infraestructura 2008</t>
  </si>
  <si>
    <t>Fondo Infraestructura 2007</t>
  </si>
  <si>
    <t>Fondo Infraestructura 2006</t>
  </si>
  <si>
    <t>Fondo Infraestructura 2005</t>
  </si>
  <si>
    <t>Aportacion Centro Cultural Universitario</t>
  </si>
  <si>
    <t>Donativos a Instituciones sin fines de Lucro</t>
  </si>
  <si>
    <t>Donativos Internacionales</t>
  </si>
  <si>
    <t>Donativos a Fideicomisos Privados</t>
  </si>
  <si>
    <t>Donativos a Entidades Federativas</t>
  </si>
  <si>
    <t xml:space="preserve"> </t>
  </si>
  <si>
    <t>FONDO DE INFRESTRUCTURA</t>
  </si>
  <si>
    <t xml:space="preserve">Cámaras fotograficas y de video </t>
  </si>
  <si>
    <t xml:space="preserve">Herramientas y máquinas herramientas </t>
  </si>
  <si>
    <t>odometro</t>
  </si>
  <si>
    <t>cámaras</t>
  </si>
  <si>
    <t>32500 microfono y equipo de sonido+25000 de copiadoras</t>
  </si>
  <si>
    <t>SUB-CUENTA</t>
  </si>
  <si>
    <t>Importe</t>
  </si>
  <si>
    <t>%</t>
  </si>
  <si>
    <t>TOTAL DE PRESUPUESTO</t>
  </si>
  <si>
    <t>Presupuesto Inicial</t>
  </si>
  <si>
    <t>FONDO INFRAESTRUCTURA</t>
  </si>
  <si>
    <t>SEGURIDAD PUBLICA FONDO DE FORTALECIMIENTO Y RECURSO MUNICIPAL</t>
  </si>
  <si>
    <t>SEGURIDAD PUBLICA (FONDO DE INFRAESTRUCTURA Y RECURSOS MUNICIPALES)</t>
  </si>
  <si>
    <t>Variación</t>
  </si>
  <si>
    <t>N/A</t>
  </si>
  <si>
    <t>Presupuesto Autorizado 2013</t>
  </si>
  <si>
    <t xml:space="preserve">Remanentes </t>
  </si>
  <si>
    <t>Sentencias y resoluciones por autoridad competente</t>
  </si>
  <si>
    <t xml:space="preserve"> Utilidades</t>
  </si>
  <si>
    <t>Subsidios a entidades federativas y municipios</t>
  </si>
  <si>
    <t>Otras pensiones y jubilaciones</t>
  </si>
  <si>
    <t>Impuesto sobre nóminas y otros que se deriven de una relación laboral</t>
  </si>
  <si>
    <t xml:space="preserve"> 1ra. Modificación Presupuestal</t>
  </si>
</sst>
</file>

<file path=xl/styles.xml><?xml version="1.0" encoding="utf-8"?>
<styleSheet xmlns="http://schemas.openxmlformats.org/spreadsheetml/2006/main">
  <numFmts count="10">
    <numFmt numFmtId="6" formatCode="&quot;$&quot;#,##0;[Red]\-&quot;$&quot;#,##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#,##0.00_ ;[Red]\-#,##0.00\ "/>
    <numFmt numFmtId="166" formatCode="#,##0_ ;[Red]\-#,##0\ "/>
    <numFmt numFmtId="167" formatCode="#,##0.000_ ;[Red]\-#,##0.000\ "/>
    <numFmt numFmtId="168" formatCode="#,##0.000000000_ ;[Red]\-#,##0.000000000\ "/>
  </numFmts>
  <fonts count="2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indexed="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thin">
        <color indexed="3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31"/>
      </bottom>
      <diagonal/>
    </border>
    <border>
      <left style="medium">
        <color indexed="64"/>
      </left>
      <right style="thin">
        <color indexed="31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31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3">
    <xf numFmtId="0" fontId="0" fillId="0" borderId="0" xfId="0"/>
    <xf numFmtId="0" fontId="0" fillId="0" borderId="0" xfId="0" applyProtection="1">
      <protection locked="0"/>
    </xf>
    <xf numFmtId="0" fontId="0" fillId="2" borderId="0" xfId="0" applyFill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0" fillId="2" borderId="0" xfId="0" applyFill="1" applyAlignment="1" applyProtection="1">
      <alignment wrapText="1"/>
    </xf>
    <xf numFmtId="9" fontId="4" fillId="2" borderId="1" xfId="8" applyNumberFormat="1" applyFont="1" applyFill="1" applyBorder="1" applyAlignment="1" applyProtection="1">
      <alignment horizontal="center" vertical="center" wrapText="1"/>
    </xf>
    <xf numFmtId="9" fontId="12" fillId="2" borderId="0" xfId="8" applyNumberFormat="1" applyFont="1" applyFill="1" applyAlignment="1" applyProtection="1">
      <alignment horizontal="center"/>
    </xf>
    <xf numFmtId="0" fontId="0" fillId="2" borderId="0" xfId="0" applyFill="1" applyAlignment="1">
      <alignment vertical="center"/>
    </xf>
    <xf numFmtId="44" fontId="4" fillId="2" borderId="1" xfId="1" applyNumberFormat="1" applyFont="1" applyFill="1" applyBorder="1" applyAlignment="1" applyProtection="1">
      <alignment vertical="center" wrapText="1"/>
      <protection locked="0"/>
    </xf>
    <xf numFmtId="44" fontId="12" fillId="2" borderId="0" xfId="1" applyNumberFormat="1" applyFont="1" applyFill="1"/>
    <xf numFmtId="44" fontId="4" fillId="2" borderId="1" xfId="1" applyNumberFormat="1" applyFont="1" applyFill="1" applyBorder="1" applyAlignment="1" applyProtection="1">
      <alignment vertical="center" wrapText="1"/>
    </xf>
    <xf numFmtId="44" fontId="12" fillId="2" borderId="0" xfId="1" applyNumberFormat="1" applyFont="1" applyFill="1" applyProtection="1"/>
    <xf numFmtId="40" fontId="4" fillId="2" borderId="1" xfId="1" applyNumberFormat="1" applyFont="1" applyFill="1" applyBorder="1" applyAlignment="1" applyProtection="1">
      <alignment vertical="center" wrapText="1"/>
    </xf>
    <xf numFmtId="40" fontId="12" fillId="2" borderId="0" xfId="1" applyNumberFormat="1" applyFont="1" applyFill="1" applyProtection="1"/>
    <xf numFmtId="44" fontId="1" fillId="2" borderId="0" xfId="1" applyNumberFormat="1" applyFont="1" applyFill="1" applyProtection="1"/>
    <xf numFmtId="40" fontId="1" fillId="2" borderId="0" xfId="1" applyNumberFormat="1" applyFont="1" applyFill="1" applyProtection="1"/>
    <xf numFmtId="9" fontId="1" fillId="2" borderId="0" xfId="8" applyNumberFormat="1" applyFont="1" applyFill="1" applyAlignment="1" applyProtection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 applyProtection="1">
      <alignment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166" fontId="6" fillId="4" borderId="2" xfId="1" applyNumberFormat="1" applyFont="1" applyFill="1" applyBorder="1" applyAlignment="1" applyProtection="1">
      <alignment horizontal="right" vertical="center"/>
    </xf>
    <xf numFmtId="9" fontId="6" fillId="4" borderId="2" xfId="8" applyNumberFormat="1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horizontal="center" vertical="center"/>
    </xf>
    <xf numFmtId="166" fontId="7" fillId="2" borderId="2" xfId="1" applyNumberFormat="1" applyFont="1" applyFill="1" applyBorder="1" applyAlignment="1" applyProtection="1">
      <alignment vertical="center" wrapText="1"/>
    </xf>
    <xf numFmtId="9" fontId="7" fillId="2" borderId="2" xfId="8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vertical="center" wrapText="1"/>
    </xf>
    <xf numFmtId="9" fontId="7" fillId="0" borderId="2" xfId="8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/>
    <xf numFmtId="0" fontId="7" fillId="2" borderId="0" xfId="0" applyFont="1" applyFill="1"/>
    <xf numFmtId="0" fontId="7" fillId="2" borderId="0" xfId="0" applyFont="1" applyFill="1" applyProtection="1">
      <protection locked="0"/>
    </xf>
    <xf numFmtId="0" fontId="13" fillId="2" borderId="0" xfId="0" applyFont="1" applyFill="1"/>
    <xf numFmtId="0" fontId="13" fillId="2" borderId="0" xfId="0" applyFont="1" applyFill="1" applyProtection="1"/>
    <xf numFmtId="166" fontId="13" fillId="2" borderId="0" xfId="1" applyNumberFormat="1" applyFont="1" applyFill="1" applyProtection="1"/>
    <xf numFmtId="9" fontId="13" fillId="2" borderId="0" xfId="8" applyNumberFormat="1" applyFont="1" applyFill="1" applyAlignment="1" applyProtection="1">
      <alignment horizontal="center"/>
    </xf>
    <xf numFmtId="0" fontId="13" fillId="0" borderId="0" xfId="0" applyFont="1"/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vertical="center" wrapText="1"/>
    </xf>
    <xf numFmtId="9" fontId="6" fillId="0" borderId="1" xfId="8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 applyProtection="1">
      <alignment horizontal="right" vertical="center"/>
    </xf>
    <xf numFmtId="9" fontId="6" fillId="0" borderId="1" xfId="8" applyNumberFormat="1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horizontal="right" vertical="center"/>
    </xf>
    <xf numFmtId="9" fontId="9" fillId="0" borderId="4" xfId="8" applyNumberFormat="1" applyFont="1" applyFill="1" applyBorder="1" applyAlignment="1" applyProtection="1">
      <alignment horizontal="center" vertical="center"/>
    </xf>
    <xf numFmtId="0" fontId="6" fillId="0" borderId="0" xfId="0" applyFont="1" applyFill="1"/>
    <xf numFmtId="0" fontId="6" fillId="0" borderId="0" xfId="0" applyFont="1" applyFill="1" applyProtection="1"/>
    <xf numFmtId="9" fontId="6" fillId="0" borderId="0" xfId="8" applyNumberFormat="1" applyFont="1" applyFill="1" applyAlignment="1" applyProtection="1">
      <alignment horizontal="center"/>
    </xf>
    <xf numFmtId="164" fontId="6" fillId="0" borderId="0" xfId="1" applyNumberFormat="1" applyFont="1" applyFill="1"/>
    <xf numFmtId="0" fontId="6" fillId="0" borderId="0" xfId="0" applyFont="1" applyFill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 applyProtection="1">
      <alignment vertical="center" wrapText="1"/>
    </xf>
    <xf numFmtId="0" fontId="6" fillId="5" borderId="5" xfId="0" applyFont="1" applyFill="1" applyBorder="1" applyAlignment="1" applyProtection="1">
      <alignment horizontal="center" vertical="center" wrapText="1"/>
    </xf>
    <xf numFmtId="166" fontId="6" fillId="5" borderId="5" xfId="0" applyNumberFormat="1" applyFont="1" applyFill="1" applyBorder="1" applyAlignment="1" applyProtection="1">
      <alignment horizontal="right" vertical="center"/>
    </xf>
    <xf numFmtId="9" fontId="6" fillId="5" borderId="5" xfId="8" applyNumberFormat="1" applyFont="1" applyFill="1" applyBorder="1" applyAlignment="1" applyProtection="1">
      <alignment horizontal="center" vertical="center"/>
    </xf>
    <xf numFmtId="0" fontId="13" fillId="2" borderId="0" xfId="0" applyFont="1" applyFill="1" applyAlignment="1">
      <alignment horizontal="center" vertical="center"/>
    </xf>
    <xf numFmtId="6" fontId="6" fillId="0" borderId="6" xfId="1" applyNumberFormat="1" applyFont="1" applyFill="1" applyBorder="1" applyAlignment="1" applyProtection="1">
      <alignment horizontal="center" vertical="center" wrapText="1"/>
    </xf>
    <xf numFmtId="0" fontId="13" fillId="0" borderId="0" xfId="0" applyFont="1" applyProtection="1">
      <protection locked="0"/>
    </xf>
    <xf numFmtId="0" fontId="8" fillId="0" borderId="0" xfId="0" applyFont="1"/>
    <xf numFmtId="0" fontId="13" fillId="0" borderId="0" xfId="0" applyFont="1" applyFill="1" applyProtection="1"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vertical="center" wrapText="1"/>
    </xf>
    <xf numFmtId="166" fontId="10" fillId="2" borderId="2" xfId="1" applyNumberFormat="1" applyFont="1" applyFill="1" applyBorder="1" applyAlignment="1" applyProtection="1">
      <alignment vertical="center" wrapText="1"/>
    </xf>
    <xf numFmtId="9" fontId="10" fillId="2" borderId="2" xfId="8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vertical="center" wrapText="1"/>
    </xf>
    <xf numFmtId="9" fontId="10" fillId="0" borderId="2" xfId="8" applyNumberFormat="1" applyFont="1" applyFill="1" applyBorder="1" applyAlignment="1" applyProtection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 applyProtection="1">
      <alignment vertical="center" wrapText="1"/>
    </xf>
    <xf numFmtId="0" fontId="6" fillId="6" borderId="5" xfId="0" applyFont="1" applyFill="1" applyBorder="1" applyAlignment="1" applyProtection="1">
      <alignment horizontal="center" vertical="center" wrapText="1"/>
    </xf>
    <xf numFmtId="166" fontId="6" fillId="6" borderId="5" xfId="0" applyNumberFormat="1" applyFont="1" applyFill="1" applyBorder="1" applyAlignment="1" applyProtection="1">
      <alignment horizontal="right" vertical="center"/>
    </xf>
    <xf numFmtId="9" fontId="6" fillId="6" borderId="5" xfId="8" applyNumberFormat="1" applyFont="1" applyFill="1" applyBorder="1" applyAlignment="1" applyProtection="1">
      <alignment horizontal="center" vertical="center"/>
    </xf>
    <xf numFmtId="166" fontId="6" fillId="0" borderId="1" xfId="0" applyNumberFormat="1" applyFont="1" applyFill="1" applyBorder="1" applyAlignment="1" applyProtection="1">
      <alignment horizontal="right" vertical="center"/>
    </xf>
    <xf numFmtId="166" fontId="6" fillId="0" borderId="1" xfId="1" applyNumberFormat="1" applyFont="1" applyFill="1" applyBorder="1" applyAlignment="1" applyProtection="1">
      <alignment vertical="center" wrapText="1"/>
    </xf>
    <xf numFmtId="166" fontId="6" fillId="0" borderId="0" xfId="1" applyNumberFormat="1" applyFont="1" applyFill="1" applyProtection="1"/>
    <xf numFmtId="166" fontId="6" fillId="0" borderId="1" xfId="0" applyNumberFormat="1" applyFont="1" applyFill="1" applyBorder="1" applyAlignment="1">
      <alignment horizontal="center" vertical="center" wrapText="1"/>
    </xf>
    <xf numFmtId="166" fontId="9" fillId="0" borderId="4" xfId="1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66" fontId="8" fillId="2" borderId="0" xfId="0" applyNumberFormat="1" applyFont="1" applyFill="1"/>
    <xf numFmtId="166" fontId="7" fillId="2" borderId="0" xfId="0" applyNumberFormat="1" applyFont="1" applyFill="1" applyProtection="1">
      <protection locked="0"/>
    </xf>
    <xf numFmtId="6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Protection="1">
      <protection locked="0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166" fontId="9" fillId="0" borderId="0" xfId="1" applyNumberFormat="1" applyFont="1" applyFill="1" applyBorder="1" applyAlignment="1" applyProtection="1">
      <alignment horizontal="right" vertical="center"/>
    </xf>
    <xf numFmtId="9" fontId="9" fillId="0" borderId="0" xfId="8" applyNumberFormat="1" applyFont="1" applyFill="1" applyBorder="1" applyAlignment="1" applyProtection="1">
      <alignment horizontal="center" vertical="center"/>
    </xf>
    <xf numFmtId="166" fontId="7" fillId="2" borderId="0" xfId="0" applyNumberFormat="1" applyFont="1" applyFill="1"/>
    <xf numFmtId="166" fontId="6" fillId="0" borderId="0" xfId="0" applyNumberFormat="1" applyFont="1" applyFill="1"/>
    <xf numFmtId="166" fontId="13" fillId="2" borderId="0" xfId="0" applyNumberFormat="1" applyFont="1" applyFill="1" applyAlignment="1">
      <alignment horizontal="center" vertical="center"/>
    </xf>
    <xf numFmtId="166" fontId="13" fillId="0" borderId="0" xfId="0" applyNumberFormat="1" applyFont="1"/>
    <xf numFmtId="164" fontId="6" fillId="4" borderId="2" xfId="1" applyNumberFormat="1" applyFont="1" applyFill="1" applyBorder="1" applyAlignment="1" applyProtection="1">
      <alignment horizontal="right" vertical="center"/>
    </xf>
    <xf numFmtId="164" fontId="12" fillId="0" borderId="0" xfId="1" applyNumberFormat="1" applyFont="1"/>
    <xf numFmtId="44" fontId="0" fillId="0" borderId="0" xfId="0" applyNumberFormat="1"/>
    <xf numFmtId="166" fontId="0" fillId="0" borderId="0" xfId="0" applyNumberFormat="1"/>
    <xf numFmtId="0" fontId="0" fillId="0" borderId="0" xfId="0" applyAlignment="1">
      <alignment wrapText="1"/>
    </xf>
    <xf numFmtId="167" fontId="14" fillId="2" borderId="0" xfId="0" applyNumberFormat="1" applyFont="1" applyFill="1"/>
    <xf numFmtId="168" fontId="14" fillId="2" borderId="0" xfId="0" applyNumberFormat="1" applyFont="1" applyFill="1"/>
    <xf numFmtId="4" fontId="15" fillId="0" borderId="0" xfId="0" applyNumberFormat="1" applyFont="1" applyAlignment="1">
      <alignment wrapText="1"/>
    </xf>
    <xf numFmtId="0" fontId="13" fillId="0" borderId="0" xfId="0" applyFont="1" applyAlignment="1" applyProtection="1">
      <alignment wrapText="1"/>
      <protection locked="0"/>
    </xf>
    <xf numFmtId="0" fontId="1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 applyProtection="1">
      <alignment wrapText="1"/>
      <protection locked="0"/>
    </xf>
    <xf numFmtId="166" fontId="7" fillId="2" borderId="0" xfId="0" applyNumberFormat="1" applyFont="1" applyFill="1" applyAlignment="1" applyProtection="1">
      <alignment wrapText="1"/>
      <protection locked="0"/>
    </xf>
    <xf numFmtId="4" fontId="7" fillId="2" borderId="0" xfId="0" applyNumberFormat="1" applyFont="1" applyFill="1"/>
    <xf numFmtId="4" fontId="7" fillId="2" borderId="0" xfId="0" applyNumberFormat="1" applyFont="1" applyFill="1" applyProtection="1">
      <protection locked="0"/>
    </xf>
    <xf numFmtId="0" fontId="16" fillId="0" borderId="0" xfId="0" applyFont="1" applyFill="1"/>
    <xf numFmtId="0" fontId="16" fillId="0" borderId="0" xfId="0" applyFont="1" applyFill="1" applyProtection="1"/>
    <xf numFmtId="166" fontId="16" fillId="0" borderId="0" xfId="1" applyNumberFormat="1" applyFont="1" applyFill="1" applyProtection="1"/>
    <xf numFmtId="9" fontId="16" fillId="0" borderId="0" xfId="8" applyNumberFormat="1" applyFont="1" applyFill="1" applyAlignment="1" applyProtection="1">
      <alignment horizontal="center"/>
    </xf>
    <xf numFmtId="164" fontId="16" fillId="0" borderId="0" xfId="1" applyNumberFormat="1" applyFont="1" applyFill="1"/>
    <xf numFmtId="9" fontId="17" fillId="0" borderId="4" xfId="8" applyNumberFormat="1" applyFont="1" applyFill="1" applyBorder="1" applyAlignment="1" applyProtection="1">
      <alignment horizontal="center" vertical="center"/>
    </xf>
    <xf numFmtId="41" fontId="6" fillId="0" borderId="0" xfId="0" applyNumberFormat="1" applyFont="1" applyFill="1"/>
    <xf numFmtId="43" fontId="6" fillId="0" borderId="0" xfId="0" applyNumberFormat="1" applyFont="1" applyFill="1"/>
    <xf numFmtId="164" fontId="6" fillId="0" borderId="0" xfId="0" applyNumberFormat="1" applyFont="1" applyFill="1"/>
    <xf numFmtId="43" fontId="10" fillId="2" borderId="2" xfId="1" applyNumberFormat="1" applyFont="1" applyFill="1" applyBorder="1" applyAlignment="1" applyProtection="1">
      <alignment vertical="center" wrapText="1"/>
    </xf>
    <xf numFmtId="43" fontId="13" fillId="2" borderId="0" xfId="1" applyNumberFormat="1" applyFont="1" applyFill="1" applyProtection="1"/>
    <xf numFmtId="42" fontId="6" fillId="5" borderId="5" xfId="0" applyNumberFormat="1" applyFont="1" applyFill="1" applyBorder="1" applyAlignment="1" applyProtection="1">
      <alignment horizontal="right" vertical="center"/>
    </xf>
    <xf numFmtId="42" fontId="6" fillId="4" borderId="2" xfId="1" applyNumberFormat="1" applyFont="1" applyFill="1" applyBorder="1" applyAlignment="1" applyProtection="1">
      <alignment horizontal="right" vertical="center"/>
    </xf>
    <xf numFmtId="42" fontId="7" fillId="2" borderId="2" xfId="1" applyNumberFormat="1" applyFont="1" applyFill="1" applyBorder="1" applyAlignment="1" applyProtection="1">
      <alignment horizontal="right" vertical="center"/>
    </xf>
    <xf numFmtId="41" fontId="6" fillId="5" borderId="5" xfId="1" applyNumberFormat="1" applyFont="1" applyFill="1" applyBorder="1" applyAlignment="1" applyProtection="1">
      <alignment horizontal="right" vertical="center"/>
    </xf>
    <xf numFmtId="41" fontId="6" fillId="4" borderId="2" xfId="1" applyNumberFormat="1" applyFont="1" applyFill="1" applyBorder="1" applyAlignment="1" applyProtection="1">
      <alignment horizontal="right" vertical="center"/>
    </xf>
    <xf numFmtId="41" fontId="7" fillId="2" borderId="2" xfId="1" applyNumberFormat="1" applyFont="1" applyFill="1" applyBorder="1" applyAlignment="1" applyProtection="1">
      <alignment horizontal="right" vertical="center"/>
    </xf>
    <xf numFmtId="41" fontId="7" fillId="0" borderId="2" xfId="1" applyNumberFormat="1" applyFont="1" applyFill="1" applyBorder="1" applyAlignment="1" applyProtection="1">
      <alignment horizontal="right" vertical="center"/>
    </xf>
    <xf numFmtId="41" fontId="6" fillId="5" borderId="5" xfId="0" applyNumberFormat="1" applyFont="1" applyFill="1" applyBorder="1" applyAlignment="1" applyProtection="1">
      <alignment horizontal="right" vertical="center"/>
    </xf>
    <xf numFmtId="41" fontId="7" fillId="2" borderId="2" xfId="1" applyNumberFormat="1" applyFont="1" applyFill="1" applyBorder="1" applyAlignment="1" applyProtection="1">
      <alignment vertical="center" wrapText="1"/>
    </xf>
    <xf numFmtId="41" fontId="7" fillId="0" borderId="2" xfId="1" applyNumberFormat="1" applyFont="1" applyFill="1" applyBorder="1" applyAlignment="1" applyProtection="1">
      <alignment vertical="center" wrapText="1"/>
    </xf>
    <xf numFmtId="43" fontId="0" fillId="0" borderId="0" xfId="0" applyNumberFormat="1"/>
    <xf numFmtId="43" fontId="12" fillId="2" borderId="0" xfId="1" applyNumberFormat="1" applyFont="1" applyFill="1"/>
    <xf numFmtId="43" fontId="1" fillId="2" borderId="0" xfId="1" applyNumberFormat="1" applyFont="1" applyFill="1"/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44" fontId="3" fillId="2" borderId="8" xfId="1" applyNumberFormat="1" applyFont="1" applyFill="1" applyBorder="1" applyAlignment="1" applyProtection="1">
      <alignment vertical="center" wrapText="1"/>
    </xf>
    <xf numFmtId="40" fontId="3" fillId="2" borderId="8" xfId="1" applyNumberFormat="1" applyFont="1" applyFill="1" applyBorder="1" applyAlignment="1" applyProtection="1">
      <alignment vertical="center" wrapText="1"/>
    </xf>
    <xf numFmtId="9" fontId="3" fillId="2" borderId="8" xfId="8" applyNumberFormat="1" applyFont="1" applyFill="1" applyBorder="1" applyAlignment="1" applyProtection="1">
      <alignment horizontal="center" vertical="center" wrapText="1"/>
    </xf>
    <xf numFmtId="43" fontId="3" fillId="2" borderId="8" xfId="1" applyNumberFormat="1" applyFont="1" applyFill="1" applyBorder="1" applyAlignment="1" applyProtection="1">
      <alignment vertical="center" wrapText="1"/>
      <protection locked="0"/>
    </xf>
    <xf numFmtId="0" fontId="0" fillId="2" borderId="0" xfId="0" applyFill="1" applyBorder="1"/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left"/>
    </xf>
    <xf numFmtId="44" fontId="1" fillId="2" borderId="0" xfId="1" applyNumberFormat="1" applyFont="1" applyFill="1" applyBorder="1" applyProtection="1"/>
    <xf numFmtId="40" fontId="1" fillId="2" borderId="0" xfId="1" applyNumberFormat="1" applyFont="1" applyFill="1" applyBorder="1" applyProtection="1"/>
    <xf numFmtId="9" fontId="1" fillId="2" borderId="0" xfId="8" applyNumberFormat="1" applyFont="1" applyFill="1" applyBorder="1" applyAlignment="1" applyProtection="1">
      <alignment horizontal="center"/>
    </xf>
    <xf numFmtId="43" fontId="1" fillId="2" borderId="0" xfId="1" applyNumberFormat="1" applyFont="1" applyFill="1" applyBorder="1"/>
    <xf numFmtId="0" fontId="0" fillId="0" borderId="0" xfId="0" applyBorder="1"/>
    <xf numFmtId="43" fontId="1" fillId="2" borderId="0" xfId="1" applyNumberFormat="1" applyFont="1" applyFill="1" applyBorder="1" applyAlignment="1">
      <alignment wrapText="1"/>
    </xf>
    <xf numFmtId="0" fontId="0" fillId="2" borderId="0" xfId="0" applyFill="1" applyBorder="1" applyAlignment="1" applyProtection="1">
      <alignment horizontal="center"/>
    </xf>
    <xf numFmtId="43" fontId="1" fillId="0" borderId="0" xfId="1" applyNumberFormat="1" applyFont="1" applyFill="1" applyBorder="1"/>
    <xf numFmtId="41" fontId="6" fillId="6" borderId="5" xfId="0" applyNumberFormat="1" applyFont="1" applyFill="1" applyBorder="1" applyAlignment="1" applyProtection="1">
      <alignment horizontal="right" vertical="center"/>
    </xf>
    <xf numFmtId="41" fontId="6" fillId="5" borderId="5" xfId="1" applyNumberFormat="1" applyFont="1" applyFill="1" applyBorder="1" applyAlignment="1" applyProtection="1">
      <alignment horizontal="right" vertical="center"/>
      <protection locked="0"/>
    </xf>
    <xf numFmtId="41" fontId="7" fillId="3" borderId="2" xfId="1" applyNumberFormat="1" applyFont="1" applyFill="1" applyBorder="1" applyAlignment="1" applyProtection="1">
      <alignment horizontal="right" vertical="center"/>
    </xf>
    <xf numFmtId="41" fontId="10" fillId="2" borderId="2" xfId="1" applyNumberFormat="1" applyFont="1" applyFill="1" applyBorder="1" applyAlignment="1" applyProtection="1">
      <alignment vertical="center" wrapText="1"/>
    </xf>
    <xf numFmtId="41" fontId="10" fillId="0" borderId="2" xfId="1" applyNumberFormat="1" applyFont="1" applyFill="1" applyBorder="1" applyAlignment="1" applyProtection="1">
      <alignment vertical="center" wrapText="1"/>
    </xf>
    <xf numFmtId="41" fontId="10" fillId="0" borderId="2" xfId="1" applyNumberFormat="1" applyFont="1" applyFill="1" applyBorder="1" applyAlignment="1" applyProtection="1">
      <alignment vertical="center" wrapText="1"/>
      <protection locked="0"/>
    </xf>
    <xf numFmtId="41" fontId="12" fillId="2" borderId="0" xfId="1" applyNumberFormat="1" applyFont="1" applyFill="1"/>
    <xf numFmtId="164" fontId="7" fillId="2" borderId="2" xfId="1" applyNumberFormat="1" applyFont="1" applyFill="1" applyBorder="1" applyAlignment="1" applyProtection="1">
      <alignment horizontal="right" vertical="center"/>
    </xf>
    <xf numFmtId="164" fontId="7" fillId="0" borderId="2" xfId="1" applyNumberFormat="1" applyFont="1" applyFill="1" applyBorder="1" applyAlignment="1" applyProtection="1">
      <alignment horizontal="right" vertical="center"/>
    </xf>
    <xf numFmtId="166" fontId="7" fillId="2" borderId="2" xfId="1" applyNumberFormat="1" applyFont="1" applyFill="1" applyBorder="1" applyAlignment="1" applyProtection="1">
      <alignment horizontal="right" vertical="center"/>
    </xf>
    <xf numFmtId="166" fontId="7" fillId="0" borderId="2" xfId="1" applyNumberFormat="1" applyFont="1" applyFill="1" applyBorder="1" applyAlignment="1" applyProtection="1">
      <alignment vertical="center" wrapText="1"/>
    </xf>
    <xf numFmtId="0" fontId="7" fillId="2" borderId="9" xfId="0" applyFont="1" applyFill="1" applyBorder="1" applyAlignment="1" applyProtection="1">
      <alignment vertical="center"/>
    </xf>
    <xf numFmtId="43" fontId="7" fillId="2" borderId="0" xfId="0" applyNumberFormat="1" applyFont="1" applyFill="1" applyProtection="1">
      <protection locked="0"/>
    </xf>
    <xf numFmtId="6" fontId="6" fillId="0" borderId="12" xfId="1" applyNumberFormat="1" applyFont="1" applyFill="1" applyBorder="1" applyAlignment="1" applyProtection="1">
      <alignment horizontal="center" vertical="center" wrapText="1"/>
    </xf>
    <xf numFmtId="6" fontId="6" fillId="0" borderId="11" xfId="1" applyNumberFormat="1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vertical="center" wrapText="1"/>
    </xf>
    <xf numFmtId="166" fontId="6" fillId="0" borderId="8" xfId="0" applyNumberFormat="1" applyFont="1" applyFill="1" applyBorder="1" applyAlignment="1" applyProtection="1">
      <alignment horizontal="right" vertical="center"/>
    </xf>
    <xf numFmtId="9" fontId="6" fillId="0" borderId="8" xfId="8" applyNumberFormat="1" applyFont="1" applyFill="1" applyBorder="1" applyAlignment="1" applyProtection="1">
      <alignment horizontal="center" vertical="center"/>
    </xf>
    <xf numFmtId="41" fontId="6" fillId="0" borderId="8" xfId="0" applyNumberFormat="1" applyFont="1" applyFill="1" applyBorder="1" applyAlignment="1" applyProtection="1">
      <alignment horizontal="right" vertical="center"/>
    </xf>
    <xf numFmtId="0" fontId="6" fillId="0" borderId="23" xfId="0" applyFont="1" applyFill="1" applyBorder="1" applyAlignment="1" applyProtection="1">
      <alignment vertical="center" wrapText="1"/>
    </xf>
    <xf numFmtId="166" fontId="6" fillId="0" borderId="23" xfId="0" applyNumberFormat="1" applyFont="1" applyFill="1" applyBorder="1" applyAlignment="1" applyProtection="1">
      <alignment horizontal="right" vertical="center"/>
    </xf>
    <xf numFmtId="9" fontId="6" fillId="0" borderId="23" xfId="8" applyNumberFormat="1" applyFont="1" applyFill="1" applyBorder="1" applyAlignment="1" applyProtection="1">
      <alignment horizontal="center" vertical="center"/>
    </xf>
    <xf numFmtId="41" fontId="6" fillId="0" borderId="23" xfId="0" applyNumberFormat="1" applyFont="1" applyFill="1" applyBorder="1" applyAlignment="1" applyProtection="1">
      <alignment horizontal="right" vertical="center"/>
    </xf>
    <xf numFmtId="0" fontId="7" fillId="2" borderId="5" xfId="0" applyFont="1" applyFill="1" applyBorder="1" applyAlignment="1" applyProtection="1">
      <alignment horizontal="center" vertical="center"/>
    </xf>
    <xf numFmtId="166" fontId="7" fillId="2" borderId="5" xfId="1" applyNumberFormat="1" applyFont="1" applyFill="1" applyBorder="1" applyAlignment="1" applyProtection="1">
      <alignment vertical="center" wrapText="1"/>
    </xf>
    <xf numFmtId="41" fontId="7" fillId="2" borderId="5" xfId="1" applyNumberFormat="1" applyFont="1" applyFill="1" applyBorder="1" applyAlignment="1" applyProtection="1">
      <alignment vertical="center" wrapText="1"/>
    </xf>
    <xf numFmtId="9" fontId="7" fillId="2" borderId="5" xfId="8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left" vertical="center" wrapText="1"/>
    </xf>
    <xf numFmtId="166" fontId="7" fillId="2" borderId="9" xfId="1" applyNumberFormat="1" applyFont="1" applyFill="1" applyBorder="1" applyAlignment="1" applyProtection="1">
      <alignment vertical="center" wrapText="1"/>
    </xf>
    <xf numFmtId="41" fontId="7" fillId="2" borderId="0" xfId="0" applyNumberFormat="1" applyFont="1" applyFill="1" applyProtection="1">
      <protection locked="0"/>
    </xf>
    <xf numFmtId="166" fontId="18" fillId="2" borderId="0" xfId="0" applyNumberFormat="1" applyFont="1" applyFill="1" applyProtection="1">
      <protection locked="0"/>
    </xf>
    <xf numFmtId="0" fontId="20" fillId="2" borderId="0" xfId="0" applyFont="1" applyFill="1" applyAlignment="1">
      <alignment horizontal="center" vertical="center" shrinkToFit="1"/>
    </xf>
    <xf numFmtId="0" fontId="22" fillId="2" borderId="0" xfId="0" applyFont="1" applyFill="1" applyAlignment="1">
      <alignment shrinkToFit="1"/>
    </xf>
    <xf numFmtId="0" fontId="21" fillId="2" borderId="0" xfId="0" applyFont="1" applyFill="1" applyAlignment="1">
      <alignment shrinkToFit="1"/>
    </xf>
    <xf numFmtId="0" fontId="21" fillId="2" borderId="0" xfId="0" applyFont="1" applyFill="1" applyAlignment="1" applyProtection="1">
      <alignment shrinkToFit="1"/>
      <protection locked="0"/>
    </xf>
    <xf numFmtId="0" fontId="21" fillId="2" borderId="0" xfId="0" applyFont="1" applyFill="1" applyBorder="1" applyAlignment="1" applyProtection="1">
      <alignment shrinkToFit="1"/>
      <protection locked="0"/>
    </xf>
    <xf numFmtId="0" fontId="20" fillId="0" borderId="0" xfId="0" applyFont="1" applyAlignment="1">
      <alignment shrinkToFit="1"/>
    </xf>
    <xf numFmtId="41" fontId="7" fillId="0" borderId="2" xfId="1" quotePrefix="1" applyNumberFormat="1" applyFont="1" applyFill="1" applyBorder="1" applyAlignment="1" applyProtection="1">
      <alignment vertical="center" wrapText="1"/>
    </xf>
    <xf numFmtId="166" fontId="18" fillId="2" borderId="24" xfId="0" applyNumberFormat="1" applyFont="1" applyFill="1" applyBorder="1" applyAlignment="1" applyProtection="1">
      <alignment wrapText="1"/>
      <protection locked="0"/>
    </xf>
    <xf numFmtId="166" fontId="18" fillId="2" borderId="0" xfId="0" applyNumberFormat="1" applyFont="1" applyFill="1" applyBorder="1" applyAlignment="1" applyProtection="1">
      <alignment wrapText="1"/>
      <protection locked="0"/>
    </xf>
    <xf numFmtId="166" fontId="18" fillId="2" borderId="0" xfId="0" applyNumberFormat="1" applyFont="1" applyFill="1" applyAlignment="1" applyProtection="1">
      <alignment shrinkToFit="1"/>
      <protection locked="0"/>
    </xf>
    <xf numFmtId="0" fontId="15" fillId="2" borderId="0" xfId="0" applyFont="1" applyFill="1" applyAlignment="1">
      <alignment horizontal="center" vertical="center" shrinkToFit="1"/>
    </xf>
    <xf numFmtId="166" fontId="19" fillId="2" borderId="0" xfId="0" applyNumberFormat="1" applyFont="1" applyFill="1" applyAlignment="1">
      <alignment shrinkToFit="1"/>
    </xf>
    <xf numFmtId="0" fontId="18" fillId="2" borderId="0" xfId="0" applyFont="1" applyFill="1" applyAlignment="1">
      <alignment shrinkToFit="1"/>
    </xf>
    <xf numFmtId="0" fontId="18" fillId="2" borderId="0" xfId="0" applyFont="1" applyFill="1" applyAlignment="1" applyProtection="1">
      <alignment shrinkToFit="1"/>
      <protection locked="0"/>
    </xf>
    <xf numFmtId="0" fontId="13" fillId="2" borderId="0" xfId="0" applyFont="1" applyFill="1" applyAlignment="1">
      <alignment horizontal="center" vertical="center" shrinkToFit="1"/>
    </xf>
    <xf numFmtId="0" fontId="8" fillId="2" borderId="0" xfId="0" applyFont="1" applyFill="1" applyAlignment="1">
      <alignment shrinkToFit="1"/>
    </xf>
    <xf numFmtId="0" fontId="7" fillId="2" borderId="0" xfId="0" applyFont="1" applyFill="1" applyAlignment="1">
      <alignment shrinkToFit="1"/>
    </xf>
    <xf numFmtId="0" fontId="7" fillId="2" borderId="0" xfId="0" applyFont="1" applyFill="1" applyAlignment="1" applyProtection="1">
      <alignment shrinkToFit="1"/>
      <protection locked="0"/>
    </xf>
    <xf numFmtId="0" fontId="0" fillId="0" borderId="0" xfId="0" applyAlignment="1">
      <alignment shrinkToFit="1"/>
    </xf>
    <xf numFmtId="4" fontId="20" fillId="2" borderId="0" xfId="0" applyNumberFormat="1" applyFont="1" applyFill="1" applyAlignment="1">
      <alignment vertical="center" shrinkToFit="1"/>
    </xf>
    <xf numFmtId="4" fontId="19" fillId="2" borderId="0" xfId="0" applyNumberFormat="1" applyFont="1" applyFill="1" applyAlignment="1">
      <alignment shrinkToFit="1"/>
    </xf>
    <xf numFmtId="4" fontId="18" fillId="2" borderId="0" xfId="0" applyNumberFormat="1" applyFont="1" applyFill="1" applyAlignment="1">
      <alignment shrinkToFit="1"/>
    </xf>
    <xf numFmtId="4" fontId="18" fillId="2" borderId="0" xfId="0" applyNumberFormat="1" applyFont="1" applyFill="1" applyAlignment="1" applyProtection="1">
      <alignment shrinkToFit="1"/>
      <protection locked="0"/>
    </xf>
    <xf numFmtId="4" fontId="18" fillId="0" borderId="0" xfId="0" applyNumberFormat="1" applyFont="1" applyFill="1" applyAlignment="1" applyProtection="1">
      <alignment shrinkToFit="1"/>
      <protection locked="0"/>
    </xf>
    <xf numFmtId="4" fontId="20" fillId="0" borderId="0" xfId="0" applyNumberFormat="1" applyFont="1" applyAlignment="1">
      <alignment shrinkToFit="1"/>
    </xf>
    <xf numFmtId="0" fontId="0" fillId="0" borderId="24" xfId="0" applyBorder="1" applyAlignment="1">
      <alignment vertical="top" wrapText="1"/>
    </xf>
    <xf numFmtId="0" fontId="0" fillId="0" borderId="0" xfId="0" applyAlignment="1">
      <alignment vertical="top" wrapText="1"/>
    </xf>
    <xf numFmtId="4" fontId="13" fillId="2" borderId="0" xfId="0" applyNumberFormat="1" applyFont="1" applyFill="1" applyAlignment="1">
      <alignment horizontal="center" vertical="center" shrinkToFit="1"/>
    </xf>
    <xf numFmtId="4" fontId="8" fillId="2" borderId="0" xfId="0" applyNumberFormat="1" applyFont="1" applyFill="1" applyAlignment="1">
      <alignment shrinkToFit="1"/>
    </xf>
    <xf numFmtId="4" fontId="7" fillId="2" borderId="0" xfId="0" applyNumberFormat="1" applyFont="1" applyFill="1" applyAlignment="1">
      <alignment shrinkToFit="1"/>
    </xf>
    <xf numFmtId="4" fontId="7" fillId="2" borderId="0" xfId="0" applyNumberFormat="1" applyFont="1" applyFill="1" applyAlignment="1" applyProtection="1">
      <alignment shrinkToFit="1"/>
      <protection locked="0"/>
    </xf>
    <xf numFmtId="4" fontId="0" fillId="0" borderId="0" xfId="0" applyNumberFormat="1" applyAlignment="1">
      <alignment shrinkToFit="1"/>
    </xf>
    <xf numFmtId="4" fontId="7" fillId="2" borderId="0" xfId="0" applyNumberFormat="1" applyFont="1" applyFill="1" applyAlignment="1" applyProtection="1">
      <alignment wrapText="1" shrinkToFit="1"/>
      <protection locked="0"/>
    </xf>
    <xf numFmtId="4" fontId="18" fillId="2" borderId="0" xfId="0" applyNumberFormat="1" applyFont="1" applyFill="1" applyAlignment="1" applyProtection="1">
      <alignment wrapText="1" shrinkToFit="1"/>
      <protection locked="0"/>
    </xf>
    <xf numFmtId="0" fontId="24" fillId="7" borderId="0" xfId="0" applyFont="1" applyFill="1"/>
    <xf numFmtId="164" fontId="24" fillId="7" borderId="0" xfId="0" applyNumberFormat="1" applyFont="1" applyFill="1"/>
    <xf numFmtId="164" fontId="24" fillId="7" borderId="0" xfId="1" applyNumberFormat="1" applyFont="1" applyFill="1"/>
    <xf numFmtId="0" fontId="24" fillId="0" borderId="0" xfId="0" applyFont="1"/>
    <xf numFmtId="41" fontId="24" fillId="0" borderId="0" xfId="0" applyNumberFormat="1" applyFont="1"/>
    <xf numFmtId="41" fontId="25" fillId="2" borderId="0" xfId="1" applyNumberFormat="1" applyFont="1" applyFill="1" applyBorder="1" applyAlignment="1" applyProtection="1">
      <alignment vertical="center" wrapText="1"/>
    </xf>
    <xf numFmtId="164" fontId="24" fillId="0" borderId="0" xfId="1" applyNumberFormat="1" applyFont="1"/>
    <xf numFmtId="164" fontId="23" fillId="0" borderId="0" xfId="0" applyNumberFormat="1" applyFont="1"/>
    <xf numFmtId="0" fontId="23" fillId="0" borderId="0" xfId="0" applyFont="1"/>
    <xf numFmtId="164" fontId="23" fillId="0" borderId="0" xfId="1" applyNumberFormat="1" applyFont="1"/>
    <xf numFmtId="43" fontId="24" fillId="0" borderId="0" xfId="0" applyNumberFormat="1" applyFont="1"/>
    <xf numFmtId="44" fontId="24" fillId="0" borderId="0" xfId="0" applyNumberFormat="1" applyFont="1"/>
    <xf numFmtId="166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6" fontId="6" fillId="0" borderId="1" xfId="1" applyNumberFormat="1" applyFont="1" applyFill="1" applyBorder="1" applyAlignment="1" applyProtection="1">
      <alignment horizontal="center" vertical="center" wrapText="1"/>
    </xf>
    <xf numFmtId="166" fontId="18" fillId="2" borderId="24" xfId="0" applyNumberFormat="1" applyFont="1" applyFill="1" applyBorder="1" applyAlignment="1" applyProtection="1">
      <alignment horizontal="center" wrapText="1"/>
      <protection locked="0"/>
    </xf>
    <xf numFmtId="166" fontId="18" fillId="2" borderId="0" xfId="0" applyNumberFormat="1" applyFont="1" applyFill="1" applyBorder="1" applyAlignment="1" applyProtection="1">
      <alignment horizontal="center" wrapText="1"/>
      <protection locked="0"/>
    </xf>
    <xf numFmtId="166" fontId="18" fillId="2" borderId="0" xfId="0" applyNumberFormat="1" applyFont="1" applyFill="1" applyAlignment="1" applyProtection="1">
      <alignment horizontal="center" wrapText="1"/>
      <protection locked="0"/>
    </xf>
    <xf numFmtId="166" fontId="6" fillId="0" borderId="10" xfId="1" applyNumberFormat="1" applyFont="1" applyFill="1" applyBorder="1" applyAlignment="1">
      <alignment horizontal="center" vertical="center" wrapText="1"/>
    </xf>
    <xf numFmtId="166" fontId="6" fillId="0" borderId="11" xfId="1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15" fillId="0" borderId="24" xfId="0" applyFont="1" applyBorder="1" applyAlignment="1" applyProtection="1">
      <alignment horizontal="left" wrapText="1"/>
      <protection locked="0"/>
    </xf>
    <xf numFmtId="0" fontId="15" fillId="0" borderId="0" xfId="0" applyFont="1" applyAlignment="1" applyProtection="1">
      <alignment horizontal="left" wrapText="1"/>
      <protection locked="0"/>
    </xf>
    <xf numFmtId="166" fontId="6" fillId="0" borderId="15" xfId="1" applyNumberFormat="1" applyFont="1" applyFill="1" applyBorder="1" applyAlignment="1">
      <alignment horizontal="center" vertical="center" wrapText="1"/>
    </xf>
    <xf numFmtId="166" fontId="6" fillId="0" borderId="16" xfId="1" applyNumberFormat="1" applyFont="1" applyFill="1" applyBorder="1" applyAlignment="1">
      <alignment horizontal="center" vertical="center" wrapText="1"/>
    </xf>
    <xf numFmtId="6" fontId="6" fillId="0" borderId="19" xfId="1" applyNumberFormat="1" applyFont="1" applyFill="1" applyBorder="1" applyAlignment="1" applyProtection="1">
      <alignment horizontal="center" vertical="center" wrapText="1"/>
    </xf>
    <xf numFmtId="6" fontId="6" fillId="0" borderId="20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>
      <alignment horizontal="center" vertical="center" wrapText="1"/>
    </xf>
    <xf numFmtId="166" fontId="6" fillId="0" borderId="22" xfId="1" applyNumberFormat="1" applyFont="1" applyFill="1" applyBorder="1" applyAlignment="1">
      <alignment horizontal="center" vertical="center" wrapText="1"/>
    </xf>
    <xf numFmtId="165" fontId="6" fillId="0" borderId="10" xfId="1" applyNumberFormat="1" applyFont="1" applyFill="1" applyBorder="1" applyAlignment="1">
      <alignment horizontal="center" vertical="center" wrapText="1"/>
    </xf>
    <xf numFmtId="165" fontId="6" fillId="0" borderId="11" xfId="1" applyNumberFormat="1" applyFont="1" applyFill="1" applyBorder="1" applyAlignment="1">
      <alignment horizontal="center" vertical="center" wrapText="1"/>
    </xf>
    <xf numFmtId="4" fontId="18" fillId="2" borderId="24" xfId="0" applyNumberFormat="1" applyFont="1" applyFill="1" applyBorder="1" applyAlignment="1" applyProtection="1">
      <alignment horizontal="center" wrapText="1"/>
      <protection locked="0"/>
    </xf>
    <xf numFmtId="4" fontId="18" fillId="2" borderId="0" xfId="0" applyNumberFormat="1" applyFont="1" applyFill="1" applyAlignment="1" applyProtection="1">
      <alignment horizontal="center" wrapText="1"/>
      <protection locked="0"/>
    </xf>
    <xf numFmtId="165" fontId="6" fillId="0" borderId="14" xfId="1" applyNumberFormat="1" applyFont="1" applyFill="1" applyBorder="1" applyAlignment="1">
      <alignment horizontal="center" vertical="center" wrapText="1"/>
    </xf>
    <xf numFmtId="165" fontId="6" fillId="0" borderId="7" xfId="1" applyNumberFormat="1" applyFont="1" applyFill="1" applyBorder="1" applyAlignment="1">
      <alignment horizontal="center" vertical="center" wrapText="1"/>
    </xf>
    <xf numFmtId="0" fontId="18" fillId="2" borderId="24" xfId="0" applyFont="1" applyFill="1" applyBorder="1" applyAlignment="1" applyProtection="1">
      <alignment horizontal="center" shrinkToFit="1"/>
      <protection locked="0"/>
    </xf>
    <xf numFmtId="0" fontId="18" fillId="2" borderId="0" xfId="0" applyFont="1" applyFill="1" applyAlignment="1" applyProtection="1">
      <alignment horizontal="center" shrinkToFit="1"/>
      <protection locked="0"/>
    </xf>
    <xf numFmtId="0" fontId="21" fillId="2" borderId="24" xfId="0" applyFont="1" applyFill="1" applyBorder="1" applyAlignment="1" applyProtection="1">
      <alignment horizontal="center" shrinkToFit="1"/>
      <protection locked="0"/>
    </xf>
    <xf numFmtId="0" fontId="21" fillId="2" borderId="0" xfId="0" applyFont="1" applyFill="1" applyAlignment="1" applyProtection="1">
      <alignment horizontal="center" shrinkToFit="1"/>
      <protection locked="0"/>
    </xf>
    <xf numFmtId="0" fontId="21" fillId="2" borderId="24" xfId="0" applyFont="1" applyFill="1" applyBorder="1" applyAlignment="1" applyProtection="1">
      <alignment horizontal="center" vertical="center" shrinkToFit="1"/>
    </xf>
    <xf numFmtId="0" fontId="21" fillId="2" borderId="0" xfId="0" applyFont="1" applyFill="1" applyBorder="1" applyAlignment="1" applyProtection="1">
      <alignment horizontal="center" vertical="center" shrinkToFit="1"/>
    </xf>
    <xf numFmtId="166" fontId="18" fillId="2" borderId="24" xfId="0" applyNumberFormat="1" applyFont="1" applyFill="1" applyBorder="1" applyAlignment="1" applyProtection="1">
      <alignment horizontal="center" shrinkToFit="1"/>
      <protection locked="0"/>
    </xf>
    <xf numFmtId="166" fontId="18" fillId="2" borderId="0" xfId="0" applyNumberFormat="1" applyFont="1" applyFill="1" applyAlignment="1" applyProtection="1">
      <alignment horizontal="center" shrinkToFit="1"/>
      <protection locked="0"/>
    </xf>
    <xf numFmtId="165" fontId="6" fillId="0" borderId="17" xfId="1" applyNumberFormat="1" applyFont="1" applyFill="1" applyBorder="1" applyAlignment="1">
      <alignment horizontal="center" vertical="center" wrapText="1"/>
    </xf>
    <xf numFmtId="165" fontId="6" fillId="0" borderId="13" xfId="1" applyNumberFormat="1" applyFont="1" applyFill="1" applyBorder="1" applyAlignment="1">
      <alignment horizontal="center" vertical="center" wrapText="1"/>
    </xf>
    <xf numFmtId="6" fontId="6" fillId="0" borderId="21" xfId="1" applyNumberFormat="1" applyFont="1" applyFill="1" applyBorder="1" applyAlignment="1" applyProtection="1">
      <alignment horizontal="center" vertical="center" wrapText="1"/>
    </xf>
    <xf numFmtId="167" fontId="14" fillId="2" borderId="24" xfId="0" applyNumberFormat="1" applyFont="1" applyFill="1" applyBorder="1" applyAlignment="1">
      <alignment horizontal="center" vertical="top" wrapText="1"/>
    </xf>
    <xf numFmtId="167" fontId="14" fillId="2" borderId="0" xfId="0" applyNumberFormat="1" applyFont="1" applyFill="1" applyBorder="1" applyAlignment="1">
      <alignment horizontal="center" vertical="top" wrapText="1"/>
    </xf>
  </cellXfs>
  <cellStyles count="10">
    <cellStyle name="Moneda" xfId="1" builtinId="4"/>
    <cellStyle name="Moneda 2" xfId="2"/>
    <cellStyle name="Normal" xfId="0" builtinId="0"/>
    <cellStyle name="Normal 2" xfId="3"/>
    <cellStyle name="Normal 2 2" xfId="4"/>
    <cellStyle name="Normal 3" xfId="5"/>
    <cellStyle name="Normal 4" xfId="6"/>
    <cellStyle name="Normal 5" xfId="7"/>
    <cellStyle name="Porcentual" xfId="8" builtinId="5"/>
    <cellStyle name="Porcentual 2" xfId="9"/>
  </cellStyles>
  <dxfs count="88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D1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file:///G:\Instructivo.docx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file:///G:\Instructivo.docx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hyperlink" Target="file:///G:\Instructivo.docx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hyperlink" Target="file:///G:\Instructivo.docx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file:///G:\Instructivo.docx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247650</xdr:rowOff>
    </xdr:from>
    <xdr:to>
      <xdr:col>3</xdr:col>
      <xdr:colOff>13335</xdr:colOff>
      <xdr:row>0</xdr:row>
      <xdr:rowOff>254555</xdr:rowOff>
    </xdr:to>
    <xdr:pic>
      <xdr:nvPicPr>
        <xdr:cNvPr id="4" name="Picture 3" descr="C:\Documents and Settings\mfv-dt\Configuración local\Archivos temporales de Internet\Content.IE5\G9YBWLQB\MC900434750[2]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02300" y="247650"/>
          <a:ext cx="12192" cy="7573"/>
        </a:xfrm>
        <a:prstGeom prst="roundRect">
          <a:avLst>
            <a:gd name="adj" fmla="val 16667"/>
          </a:avLst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2</xdr:col>
      <xdr:colOff>0</xdr:colOff>
      <xdr:row>0</xdr:row>
      <xdr:rowOff>247650</xdr:rowOff>
    </xdr:from>
    <xdr:to>
      <xdr:col>3</xdr:col>
      <xdr:colOff>13335</xdr:colOff>
      <xdr:row>0</xdr:row>
      <xdr:rowOff>254555</xdr:rowOff>
    </xdr:to>
    <xdr:pic>
      <xdr:nvPicPr>
        <xdr:cNvPr id="5" name="Picture 3" descr="C:\Documents and Settings\mfv-dt\Configuración local\Archivos temporales de Internet\Content.IE5\G9YBWLQB\MC900434750[2]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02300" y="247650"/>
          <a:ext cx="12192" cy="7573"/>
        </a:xfrm>
        <a:prstGeom prst="roundRect">
          <a:avLst>
            <a:gd name="adj" fmla="val 16667"/>
          </a:avLst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3152775</xdr:colOff>
      <xdr:row>0</xdr:row>
      <xdr:rowOff>247650</xdr:rowOff>
    </xdr:from>
    <xdr:to>
      <xdr:col>1</xdr:col>
      <xdr:colOff>3152775</xdr:colOff>
      <xdr:row>1</xdr:row>
      <xdr:rowOff>364221</xdr:rowOff>
    </xdr:to>
    <xdr:pic>
      <xdr:nvPicPr>
        <xdr:cNvPr id="2" name="Picture 3" descr="C:\Documents and Settings\mfv-dt\Configuración local\Archivos temporales de Internet\Content.IE5\G9YBWLQB\MC900434750[2]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71925" y="247650"/>
          <a:ext cx="0" cy="307071"/>
        </a:xfrm>
        <a:prstGeom prst="roundRect">
          <a:avLst>
            <a:gd name="adj" fmla="val 16667"/>
          </a:avLst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</xdr:colOff>
      <xdr:row>17</xdr:row>
      <xdr:rowOff>0</xdr:rowOff>
    </xdr:from>
    <xdr:to>
      <xdr:col>2</xdr:col>
      <xdr:colOff>0</xdr:colOff>
      <xdr:row>17</xdr:row>
      <xdr:rowOff>8375</xdr:rowOff>
    </xdr:to>
    <xdr:pic>
      <xdr:nvPicPr>
        <xdr:cNvPr id="2" name="Picture 3" descr="C:\Documents and Settings\mfv-dt\Configuración local\Archivos temporales de Internet\Content.IE5\G9YBWLQB\MC900434750[2]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71925" y="247650"/>
          <a:ext cx="0" cy="307071"/>
        </a:xfrm>
        <a:prstGeom prst="roundRect">
          <a:avLst>
            <a:gd name="adj" fmla="val 16667"/>
          </a:avLst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2</xdr:col>
      <xdr:colOff>6350</xdr:colOff>
      <xdr:row>0</xdr:row>
      <xdr:rowOff>247650</xdr:rowOff>
    </xdr:from>
    <xdr:to>
      <xdr:col>2</xdr:col>
      <xdr:colOff>0</xdr:colOff>
      <xdr:row>0</xdr:row>
      <xdr:rowOff>254555</xdr:rowOff>
    </xdr:to>
    <xdr:pic>
      <xdr:nvPicPr>
        <xdr:cNvPr id="10" name="Picture 3" descr="C:\Documents and Settings\mfv-dt\Configuración local\Archivos temporales de Internet\Content.IE5\G9YBWLQB\MC900434750[2]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971925" y="247650"/>
          <a:ext cx="700659" cy="8335"/>
        </a:xfrm>
        <a:prstGeom prst="roundRect">
          <a:avLst>
            <a:gd name="adj" fmla="val 16667"/>
          </a:avLst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2</xdr:col>
      <xdr:colOff>6350</xdr:colOff>
      <xdr:row>0</xdr:row>
      <xdr:rowOff>247650</xdr:rowOff>
    </xdr:from>
    <xdr:to>
      <xdr:col>2</xdr:col>
      <xdr:colOff>0</xdr:colOff>
      <xdr:row>0</xdr:row>
      <xdr:rowOff>254555</xdr:rowOff>
    </xdr:to>
    <xdr:pic>
      <xdr:nvPicPr>
        <xdr:cNvPr id="11" name="Picture 3" descr="C:\Documents and Settings\mfv-dt\Configuración local\Archivos temporales de Internet\Content.IE5\G9YBWLQB\MC900434750[2]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971925" y="247650"/>
          <a:ext cx="700659" cy="8335"/>
        </a:xfrm>
        <a:prstGeom prst="roundRect">
          <a:avLst>
            <a:gd name="adj" fmla="val 16667"/>
          </a:avLst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</xdr:colOff>
      <xdr:row>1</xdr:row>
      <xdr:rowOff>0</xdr:rowOff>
    </xdr:from>
    <xdr:to>
      <xdr:col>2</xdr:col>
      <xdr:colOff>0</xdr:colOff>
      <xdr:row>1</xdr:row>
      <xdr:rowOff>30465</xdr:rowOff>
    </xdr:to>
    <xdr:pic>
      <xdr:nvPicPr>
        <xdr:cNvPr id="5" name="Picture 3" descr="C:\Documents and Settings\mfv-dt\Configuración local\Archivos temporales de Internet\Content.IE5\G9YBWLQB\MC900434750[2]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54650" y="381000"/>
          <a:ext cx="5715" cy="30465"/>
        </a:xfrm>
        <a:prstGeom prst="roundRect">
          <a:avLst>
            <a:gd name="adj" fmla="val 16667"/>
          </a:avLst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2</xdr:col>
      <xdr:colOff>6350</xdr:colOff>
      <xdr:row>0</xdr:row>
      <xdr:rowOff>247650</xdr:rowOff>
    </xdr:from>
    <xdr:to>
      <xdr:col>2</xdr:col>
      <xdr:colOff>0</xdr:colOff>
      <xdr:row>0</xdr:row>
      <xdr:rowOff>254555</xdr:rowOff>
    </xdr:to>
    <xdr:pic>
      <xdr:nvPicPr>
        <xdr:cNvPr id="6" name="Picture 3" descr="C:\Documents and Settings\mfv-dt\Configuración local\Archivos temporales de Internet\Content.IE5\G9YBWLQB\MC900434750[2]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54650" y="247650"/>
          <a:ext cx="9906" cy="0"/>
        </a:xfrm>
        <a:prstGeom prst="roundRect">
          <a:avLst>
            <a:gd name="adj" fmla="val 16667"/>
          </a:avLst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2</xdr:col>
      <xdr:colOff>6350</xdr:colOff>
      <xdr:row>0</xdr:row>
      <xdr:rowOff>247650</xdr:rowOff>
    </xdr:from>
    <xdr:to>
      <xdr:col>2</xdr:col>
      <xdr:colOff>0</xdr:colOff>
      <xdr:row>0</xdr:row>
      <xdr:rowOff>254555</xdr:rowOff>
    </xdr:to>
    <xdr:pic>
      <xdr:nvPicPr>
        <xdr:cNvPr id="7" name="Picture 3" descr="C:\Documents and Settings\mfv-dt\Configuración local\Archivos temporales de Internet\Content.IE5\G9YBWLQB\MC900434750[2]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54650" y="247650"/>
          <a:ext cx="9906" cy="0"/>
        </a:xfrm>
        <a:prstGeom prst="roundRect">
          <a:avLst>
            <a:gd name="adj" fmla="val 16667"/>
          </a:avLst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</xdr:colOff>
      <xdr:row>1</xdr:row>
      <xdr:rowOff>0</xdr:rowOff>
    </xdr:from>
    <xdr:to>
      <xdr:col>2</xdr:col>
      <xdr:colOff>0</xdr:colOff>
      <xdr:row>1</xdr:row>
      <xdr:rowOff>30465</xdr:rowOff>
    </xdr:to>
    <xdr:pic>
      <xdr:nvPicPr>
        <xdr:cNvPr id="3" name="Picture 3" descr="C:\Documents and Settings\mfv-dt\Configuración local\Archivos temporales de Internet\Content.IE5\G9YBWLQB\MC900434750[2]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54725" y="381000"/>
          <a:ext cx="2286" cy="30465"/>
        </a:xfrm>
        <a:prstGeom prst="roundRect">
          <a:avLst>
            <a:gd name="adj" fmla="val 16667"/>
          </a:avLst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2</xdr:col>
      <xdr:colOff>6350</xdr:colOff>
      <xdr:row>0</xdr:row>
      <xdr:rowOff>247650</xdr:rowOff>
    </xdr:from>
    <xdr:to>
      <xdr:col>2</xdr:col>
      <xdr:colOff>0</xdr:colOff>
      <xdr:row>0</xdr:row>
      <xdr:rowOff>255223</xdr:rowOff>
    </xdr:to>
    <xdr:pic>
      <xdr:nvPicPr>
        <xdr:cNvPr id="4" name="Picture 3" descr="C:\Documents and Settings\mfv-dt\Configuración local\Archivos temporales de Internet\Content.IE5\G9YBWLQB\MC900434750[2]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54725" y="247650"/>
          <a:ext cx="6477" cy="0"/>
        </a:xfrm>
        <a:prstGeom prst="roundRect">
          <a:avLst>
            <a:gd name="adj" fmla="val 16667"/>
          </a:avLst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2</xdr:col>
      <xdr:colOff>6350</xdr:colOff>
      <xdr:row>0</xdr:row>
      <xdr:rowOff>247650</xdr:rowOff>
    </xdr:from>
    <xdr:to>
      <xdr:col>2</xdr:col>
      <xdr:colOff>0</xdr:colOff>
      <xdr:row>0</xdr:row>
      <xdr:rowOff>255223</xdr:rowOff>
    </xdr:to>
    <xdr:pic>
      <xdr:nvPicPr>
        <xdr:cNvPr id="5" name="Picture 3" descr="C:\Documents and Settings\mfv-dt\Configuración local\Archivos temporales de Internet\Content.IE5\G9YBWLQB\MC900434750[2]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54725" y="247650"/>
          <a:ext cx="6477" cy="0"/>
        </a:xfrm>
        <a:prstGeom prst="roundRect">
          <a:avLst>
            <a:gd name="adj" fmla="val 16667"/>
          </a:avLst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L24"/>
  <sheetViews>
    <sheetView tabSelected="1" workbookViewId="0">
      <selection activeCell="B14" sqref="B14"/>
    </sheetView>
  </sheetViews>
  <sheetFormatPr baseColWidth="10" defaultRowHeight="26.25" customHeight="1"/>
  <cols>
    <col min="1" max="1" width="11.5703125" style="54" customWidth="1"/>
    <col min="2" max="2" width="62.140625" style="55" customWidth="1"/>
    <col min="3" max="3" width="15.85546875" style="83" hidden="1" customWidth="1"/>
    <col min="4" max="4" width="14.5703125" style="83" hidden="1" customWidth="1"/>
    <col min="5" max="5" width="8.140625" style="56" hidden="1" customWidth="1"/>
    <col min="6" max="6" width="18.5703125" style="83" customWidth="1"/>
    <col min="7" max="7" width="21.28515625" style="83" bestFit="1" customWidth="1"/>
    <col min="8" max="8" width="9" style="56" bestFit="1" customWidth="1"/>
    <col min="9" max="9" width="17" style="57" customWidth="1"/>
    <col min="10" max="10" width="11.42578125" style="54"/>
    <col min="11" max="11" width="20.28515625" style="54" bestFit="1" customWidth="1"/>
    <col min="12" max="12" width="17.28515625" style="57" customWidth="1"/>
    <col min="13" max="16384" width="11.42578125" style="54"/>
  </cols>
  <sheetData>
    <row r="1" spans="1:12" s="58" customFormat="1" ht="26.25" customHeight="1">
      <c r="A1" s="235" t="s">
        <v>0</v>
      </c>
      <c r="B1" s="235" t="s">
        <v>1</v>
      </c>
      <c r="C1" s="235" t="s">
        <v>423</v>
      </c>
      <c r="D1" s="235" t="s">
        <v>427</v>
      </c>
      <c r="E1" s="235"/>
      <c r="F1" s="234" t="s">
        <v>429</v>
      </c>
      <c r="G1" s="236" t="s">
        <v>427</v>
      </c>
      <c r="H1" s="236"/>
      <c r="I1" s="234" t="s">
        <v>436</v>
      </c>
      <c r="L1" s="234"/>
    </row>
    <row r="2" spans="1:12" s="58" customFormat="1" ht="26.25" customHeight="1">
      <c r="A2" s="235"/>
      <c r="B2" s="235"/>
      <c r="C2" s="235"/>
      <c r="D2" s="84" t="s">
        <v>420</v>
      </c>
      <c r="E2" s="86" t="s">
        <v>421</v>
      </c>
      <c r="F2" s="234"/>
      <c r="G2" s="89" t="s">
        <v>420</v>
      </c>
      <c r="H2" s="89" t="s">
        <v>421</v>
      </c>
      <c r="I2" s="234"/>
      <c r="L2" s="234"/>
    </row>
    <row r="3" spans="1:12" ht="26.25" customHeight="1">
      <c r="A3" s="48">
        <v>1000</v>
      </c>
      <c r="B3" s="45" t="s">
        <v>2</v>
      </c>
      <c r="C3" s="81">
        <v>1252088108</v>
      </c>
      <c r="D3" s="81">
        <f>+F3-C3</f>
        <v>148887472</v>
      </c>
      <c r="E3" s="50">
        <f t="shared" ref="E3:E11" si="0">F3/C3-1</f>
        <v>0.11891133782735364</v>
      </c>
      <c r="F3" s="81">
        <f>'Capitulo 1000'!C3</f>
        <v>1400975580</v>
      </c>
      <c r="G3" s="81">
        <f>'Capitulo 1000'!D3</f>
        <v>87362200</v>
      </c>
      <c r="H3" s="50">
        <f t="shared" ref="H3:H13" si="1">I3/F3-1</f>
        <v>6.2358117619723208E-2</v>
      </c>
      <c r="I3" s="49">
        <f>'Capitulo 1000'!F3</f>
        <v>1488337780</v>
      </c>
      <c r="J3" s="122"/>
      <c r="L3" s="49"/>
    </row>
    <row r="4" spans="1:12" ht="26.25" customHeight="1">
      <c r="A4" s="48">
        <v>2000</v>
      </c>
      <c r="B4" s="45" t="s">
        <v>42</v>
      </c>
      <c r="C4" s="81">
        <v>142732000</v>
      </c>
      <c r="D4" s="81">
        <f t="shared" ref="D4:D13" si="2">+F4-C4</f>
        <v>-29873000</v>
      </c>
      <c r="E4" s="50">
        <f t="shared" si="0"/>
        <v>-0.20929434184345486</v>
      </c>
      <c r="F4" s="81">
        <f>'Capitulo 2000'!C3</f>
        <v>112859000</v>
      </c>
      <c r="G4" s="81">
        <f>'Capitulo 2000'!D3</f>
        <v>34709750</v>
      </c>
      <c r="H4" s="50">
        <f t="shared" si="1"/>
        <v>0.30754968589124476</v>
      </c>
      <c r="I4" s="49">
        <f>'Capitulo 2000'!F3</f>
        <v>147568750</v>
      </c>
      <c r="J4" s="122"/>
      <c r="L4" s="49"/>
    </row>
    <row r="5" spans="1:12" ht="26.25" customHeight="1">
      <c r="A5" s="48">
        <v>3000</v>
      </c>
      <c r="B5" s="45" t="s">
        <v>107</v>
      </c>
      <c r="C5" s="81">
        <v>854129800</v>
      </c>
      <c r="D5" s="81">
        <f t="shared" si="2"/>
        <v>-247425608.99998999</v>
      </c>
      <c r="E5" s="50">
        <f t="shared" si="0"/>
        <v>-0.28968150859505193</v>
      </c>
      <c r="F5" s="81">
        <f>'Capitulo 3000'!D3</f>
        <v>606704191.00001001</v>
      </c>
      <c r="G5" s="81">
        <f>'Capitulo 3000'!E3</f>
        <v>-24920440</v>
      </c>
      <c r="H5" s="50">
        <f t="shared" si="1"/>
        <v>-4.1075107720822679E-2</v>
      </c>
      <c r="I5" s="49">
        <f>'Capitulo 3000'!G3</f>
        <v>581783751.00001001</v>
      </c>
      <c r="J5" s="122"/>
      <c r="L5" s="49"/>
    </row>
    <row r="6" spans="1:12" ht="26.25" customHeight="1">
      <c r="A6" s="48">
        <v>4000</v>
      </c>
      <c r="B6" s="45" t="s">
        <v>189</v>
      </c>
      <c r="C6" s="81">
        <v>676663439</v>
      </c>
      <c r="D6" s="81">
        <f t="shared" si="2"/>
        <v>189022558</v>
      </c>
      <c r="E6" s="50">
        <f t="shared" si="0"/>
        <v>0.27934501423535618</v>
      </c>
      <c r="F6" s="81">
        <f>'Capitulo 4000'!D3</f>
        <v>865685997</v>
      </c>
      <c r="G6" s="81">
        <f>'Capitulo 4000'!E3</f>
        <v>5454706</v>
      </c>
      <c r="H6" s="50">
        <f t="shared" si="1"/>
        <v>6.3010214083432103E-3</v>
      </c>
      <c r="I6" s="49">
        <f>'Capitulo 4000'!G3</f>
        <v>871140703</v>
      </c>
      <c r="J6" s="122"/>
      <c r="L6" s="49"/>
    </row>
    <row r="7" spans="1:12" ht="26.25" customHeight="1">
      <c r="A7" s="48">
        <v>5000</v>
      </c>
      <c r="B7" s="45" t="s">
        <v>241</v>
      </c>
      <c r="C7" s="81">
        <v>148000000</v>
      </c>
      <c r="D7" s="81">
        <f t="shared" si="2"/>
        <v>66530269.5</v>
      </c>
      <c r="E7" s="50">
        <f t="shared" si="0"/>
        <v>0.44952884797297288</v>
      </c>
      <c r="F7" s="81">
        <f>'Capitulo 5000'!D3</f>
        <v>214530269.5</v>
      </c>
      <c r="G7" s="81">
        <f>'Capitulo 5000'!E3</f>
        <v>-63249999</v>
      </c>
      <c r="H7" s="50">
        <f t="shared" si="1"/>
        <v>-0.29483018479124223</v>
      </c>
      <c r="I7" s="49">
        <f>'Capitulo 5000'!G3</f>
        <v>151280270.5</v>
      </c>
      <c r="J7" s="122"/>
      <c r="L7" s="49"/>
    </row>
    <row r="8" spans="1:12" ht="26.25" customHeight="1">
      <c r="A8" s="48">
        <v>6000</v>
      </c>
      <c r="B8" s="45" t="s">
        <v>301</v>
      </c>
      <c r="C8" s="81">
        <v>1305581795</v>
      </c>
      <c r="D8" s="81">
        <f t="shared" si="2"/>
        <v>-445454969.52999997</v>
      </c>
      <c r="E8" s="50">
        <f t="shared" si="0"/>
        <v>-0.34119269373697114</v>
      </c>
      <c r="F8" s="81">
        <f>'Capitulo 6000'!D3</f>
        <v>860126825.47000003</v>
      </c>
      <c r="G8" s="81">
        <f>'Capitulo 6000'!E3</f>
        <v>-43160979.779999971</v>
      </c>
      <c r="H8" s="50">
        <f t="shared" si="1"/>
        <v>-5.0179785703597268E-2</v>
      </c>
      <c r="I8" s="49">
        <f>'Capitulo 6000'!G3</f>
        <v>816965845.69000006</v>
      </c>
      <c r="J8" s="122"/>
      <c r="L8" s="49"/>
    </row>
    <row r="9" spans="1:12" ht="26.25" customHeight="1">
      <c r="A9" s="48">
        <v>7000</v>
      </c>
      <c r="B9" s="45" t="s">
        <v>318</v>
      </c>
      <c r="C9" s="81">
        <v>10000000</v>
      </c>
      <c r="D9" s="81">
        <f t="shared" si="2"/>
        <v>0</v>
      </c>
      <c r="E9" s="50">
        <f t="shared" si="0"/>
        <v>0</v>
      </c>
      <c r="F9" s="81">
        <f>'Capitulo 7000'!D3</f>
        <v>10000000</v>
      </c>
      <c r="G9" s="81">
        <f>'Capitulo 7000'!E3</f>
        <v>0</v>
      </c>
      <c r="H9" s="50">
        <f t="shared" si="1"/>
        <v>0</v>
      </c>
      <c r="I9" s="49">
        <f>'Capitulo 7000'!G3</f>
        <v>10000000</v>
      </c>
      <c r="J9" s="122"/>
      <c r="L9" s="49"/>
    </row>
    <row r="10" spans="1:12" ht="26.25" customHeight="1">
      <c r="A10" s="48">
        <v>9000</v>
      </c>
      <c r="B10" s="172" t="s">
        <v>366</v>
      </c>
      <c r="C10" s="173">
        <v>192941086</v>
      </c>
      <c r="D10" s="173">
        <f t="shared" si="2"/>
        <v>110422958.48000002</v>
      </c>
      <c r="E10" s="174">
        <f t="shared" si="0"/>
        <v>0.57231438243278054</v>
      </c>
      <c r="F10" s="173">
        <f>'Capitulo 9000'!D3</f>
        <v>303364044.48000002</v>
      </c>
      <c r="G10" s="173">
        <f>'Capitulo 9000'!E3</f>
        <v>3804762.2999999523</v>
      </c>
      <c r="H10" s="174">
        <f t="shared" si="1"/>
        <v>1.2541902605899491E-2</v>
      </c>
      <c r="I10" s="175">
        <f>'Capitulo 9000'!G3</f>
        <v>307168806.77999997</v>
      </c>
      <c r="J10" s="122"/>
      <c r="K10" s="121"/>
      <c r="L10" s="49"/>
    </row>
    <row r="11" spans="1:12" ht="26.25" customHeight="1">
      <c r="A11" s="48"/>
      <c r="B11" s="176" t="s">
        <v>426</v>
      </c>
      <c r="C11" s="177">
        <v>533606916</v>
      </c>
      <c r="D11" s="177">
        <f t="shared" si="2"/>
        <v>148549570.30999994</v>
      </c>
      <c r="E11" s="178">
        <f t="shared" si="0"/>
        <v>0.27838764051926179</v>
      </c>
      <c r="F11" s="177">
        <f>'E-Fondo de Forta '!E3</f>
        <v>682156486.30999994</v>
      </c>
      <c r="G11" s="177">
        <f>'E-Fondo de Forta '!F3</f>
        <v>0</v>
      </c>
      <c r="H11" s="178">
        <f>I11/F11-1</f>
        <v>0</v>
      </c>
      <c r="I11" s="179">
        <f>'E-Fondo de Forta '!H3</f>
        <v>682156486.30999994</v>
      </c>
      <c r="J11" s="122"/>
      <c r="L11" s="49"/>
    </row>
    <row r="12" spans="1:12" ht="26.25" customHeight="1">
      <c r="A12" s="48"/>
      <c r="B12" s="45" t="s">
        <v>413</v>
      </c>
      <c r="C12" s="81">
        <v>0</v>
      </c>
      <c r="D12" s="81">
        <f t="shared" si="2"/>
        <v>165440709.04999998</v>
      </c>
      <c r="E12" s="50">
        <v>0</v>
      </c>
      <c r="F12" s="81">
        <f>Infra!E3</f>
        <v>165440709.04999998</v>
      </c>
      <c r="G12" s="81">
        <f>Infra!F3</f>
        <v>0.17360001802444458</v>
      </c>
      <c r="H12" s="50">
        <f t="shared" si="1"/>
        <v>1.0493186319848746E-9</v>
      </c>
      <c r="I12" s="49">
        <f>Infra!H3</f>
        <v>165440709.2236</v>
      </c>
      <c r="J12" s="122"/>
      <c r="L12" s="49"/>
    </row>
    <row r="13" spans="1:12" ht="26.25" customHeight="1">
      <c r="A13" s="48"/>
      <c r="B13" s="45" t="s">
        <v>399</v>
      </c>
      <c r="C13" s="81">
        <v>0</v>
      </c>
      <c r="D13" s="81">
        <f t="shared" si="2"/>
        <v>121466866.3</v>
      </c>
      <c r="E13" s="50">
        <v>0</v>
      </c>
      <c r="F13" s="81">
        <f>Subsemun!E3</f>
        <v>121466866.3</v>
      </c>
      <c r="G13" s="81">
        <f>Subsemun!F3</f>
        <v>0.20000000298023224</v>
      </c>
      <c r="H13" s="50">
        <f t="shared" si="1"/>
        <v>1.6465395713538555E-9</v>
      </c>
      <c r="I13" s="49">
        <f>Subsemun!H3</f>
        <v>121466866.5</v>
      </c>
      <c r="J13" s="122"/>
      <c r="L13" s="49"/>
    </row>
    <row r="14" spans="1:12" ht="26.25" customHeight="1">
      <c r="A14" s="44"/>
      <c r="B14" s="45"/>
      <c r="C14" s="82"/>
      <c r="D14" s="82"/>
      <c r="E14" s="46"/>
      <c r="F14" s="82"/>
      <c r="G14" s="82"/>
      <c r="H14" s="46"/>
      <c r="I14" s="47"/>
      <c r="L14" s="47"/>
    </row>
    <row r="15" spans="1:12" ht="26.25" customHeight="1">
      <c r="A15" s="51"/>
      <c r="B15" s="52" t="s">
        <v>422</v>
      </c>
      <c r="C15" s="85">
        <f>SUM(C3:C13)</f>
        <v>5115743144</v>
      </c>
      <c r="D15" s="85">
        <f>F15-C15</f>
        <v>227566825.11001015</v>
      </c>
      <c r="E15" s="53">
        <f>F15/C15-1</f>
        <v>4.448362998382982E-2</v>
      </c>
      <c r="F15" s="85">
        <f>SUM(F3:F13)</f>
        <v>5343309969.1100101</v>
      </c>
      <c r="G15" s="85">
        <v>0</v>
      </c>
      <c r="H15" s="53">
        <f>I15/F15-1</f>
        <v>-1.991262710276942E-11</v>
      </c>
      <c r="I15" s="85">
        <f>SUM(I3:I13)</f>
        <v>5343309969.0036106</v>
      </c>
      <c r="L15" s="85"/>
    </row>
    <row r="16" spans="1:12" ht="26.25" customHeight="1">
      <c r="A16" s="91"/>
      <c r="B16" s="92"/>
      <c r="C16" s="93"/>
      <c r="D16" s="93"/>
      <c r="E16" s="94"/>
      <c r="F16" s="93"/>
      <c r="G16" s="93"/>
      <c r="H16" s="94"/>
      <c r="I16" s="85"/>
      <c r="L16" s="93"/>
    </row>
    <row r="17" spans="1:12" ht="26.25" customHeight="1">
      <c r="A17" s="91"/>
      <c r="B17" s="92"/>
      <c r="C17" s="93"/>
      <c r="D17" s="93"/>
      <c r="E17" s="94"/>
      <c r="F17" s="93"/>
      <c r="G17" s="93"/>
      <c r="H17" s="94"/>
      <c r="I17" s="93"/>
      <c r="L17" s="93"/>
    </row>
    <row r="18" spans="1:12" ht="26.25" customHeight="1">
      <c r="I18" s="85"/>
      <c r="L18" s="93"/>
    </row>
    <row r="19" spans="1:12" ht="26.25" customHeight="1">
      <c r="L19" s="93"/>
    </row>
    <row r="20" spans="1:12" ht="26.25" customHeight="1">
      <c r="K20" s="96"/>
      <c r="L20" s="93"/>
    </row>
    <row r="21" spans="1:12" ht="26.25" customHeight="1">
      <c r="A21" s="115"/>
      <c r="B21" s="116"/>
      <c r="C21" s="117"/>
      <c r="D21" s="117"/>
      <c r="E21" s="118"/>
      <c r="F21" s="117"/>
      <c r="G21" s="117"/>
      <c r="H21" s="118"/>
      <c r="I21" s="119"/>
      <c r="L21" s="93"/>
    </row>
    <row r="22" spans="1:12" ht="26.25" customHeight="1">
      <c r="A22" s="115"/>
      <c r="B22" s="116"/>
      <c r="C22" s="117"/>
      <c r="D22" s="117"/>
      <c r="E22" s="118"/>
      <c r="F22" s="117"/>
      <c r="G22" s="117"/>
      <c r="H22" s="118"/>
      <c r="I22" s="119"/>
      <c r="L22" s="93"/>
    </row>
    <row r="23" spans="1:12" ht="26.25" customHeight="1">
      <c r="A23" s="115"/>
      <c r="B23" s="116"/>
      <c r="C23" s="117"/>
      <c r="D23" s="117"/>
      <c r="E23" s="118"/>
      <c r="F23" s="117"/>
      <c r="G23" s="120"/>
      <c r="H23" s="118"/>
      <c r="I23" s="119"/>
      <c r="L23" s="93"/>
    </row>
    <row r="24" spans="1:12" ht="26.25" customHeight="1">
      <c r="A24" s="115"/>
      <c r="B24" s="116"/>
      <c r="C24" s="117"/>
      <c r="D24" s="117"/>
      <c r="E24" s="118"/>
      <c r="F24" s="117"/>
      <c r="G24" s="117"/>
      <c r="H24" s="118"/>
      <c r="I24" s="119"/>
      <c r="K24" s="123"/>
    </row>
  </sheetData>
  <mergeCells count="8">
    <mergeCell ref="L1:L2"/>
    <mergeCell ref="A1:A2"/>
    <mergeCell ref="B1:B2"/>
    <mergeCell ref="F1:F2"/>
    <mergeCell ref="G1:H1"/>
    <mergeCell ref="I1:I2"/>
    <mergeCell ref="C1:C2"/>
    <mergeCell ref="D1:E1"/>
  </mergeCells>
  <dataValidations count="1">
    <dataValidation type="whole" errorStyle="warning" operator="greaterThan" allowBlank="1" showInputMessage="1" showErrorMessage="1" errorTitle="IMPORTANTE" error="Se recomienda leer las instrucciones antes de inciar con el llenado del presupuesto por objeto del gasto" sqref="B1:D1 I1 F1:G1">
      <formula1>0</formula1>
    </dataValidation>
  </dataValidations>
  <printOptions horizontalCentered="1" verticalCentered="1"/>
  <pageMargins left="0.35433070866141736" right="0.35433070866141736" top="1.3385826771653544" bottom="0.59055118110236227" header="0.43307086614173229" footer="0.31496062992125984"/>
  <pageSetup scale="94" orientation="landscape" r:id="rId1"/>
  <headerFooter>
    <oddHeader>&amp;L&amp;G&amp;C&amp;16MUNICIPIO DE ZAPOPAN, JALISCO.&amp;11&amp;14TESORERÍA MUNICIPAL.Presupuesto para el  Ejercicio 2013.</oddHeader>
    <oddFooter>&amp;R&amp;P de &amp;N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24"/>
  <sheetViews>
    <sheetView view="pageBreakPreview" zoomScaleSheetLayoutView="100" workbookViewId="0">
      <pane xSplit="1" ySplit="3" topLeftCell="B7" activePane="bottomRight" state="frozen"/>
      <selection activeCell="B73" sqref="B73:B86"/>
      <selection pane="topRight" activeCell="B73" sqref="B73:B86"/>
      <selection pane="bottomLeft" activeCell="B73" sqref="B73:B86"/>
      <selection pane="bottomRight" activeCell="F21" sqref="F21"/>
    </sheetView>
  </sheetViews>
  <sheetFormatPr baseColWidth="10" defaultColWidth="31.28515625" defaultRowHeight="15"/>
  <cols>
    <col min="1" max="1" width="12" customWidth="1"/>
    <col min="2" max="2" width="86.7109375" customWidth="1"/>
    <col min="3" max="3" width="6.85546875" hidden="1" customWidth="1"/>
    <col min="4" max="4" width="10.28515625" hidden="1" customWidth="1"/>
    <col min="5" max="5" width="18.7109375" customWidth="1"/>
    <col min="6" max="6" width="15.7109375" customWidth="1"/>
    <col min="7" max="7" width="9.42578125" customWidth="1"/>
    <col min="8" max="8" width="18.7109375" customWidth="1"/>
    <col min="9" max="9" width="13.85546875" customWidth="1"/>
  </cols>
  <sheetData>
    <row r="1" spans="1:10" s="11" customFormat="1" ht="24.75" customHeight="1" thickBot="1">
      <c r="A1" s="242" t="s">
        <v>0</v>
      </c>
      <c r="B1" s="244" t="s">
        <v>1</v>
      </c>
      <c r="C1" s="268" t="s">
        <v>419</v>
      </c>
      <c r="D1" s="258"/>
      <c r="E1" s="248" t="s">
        <v>429</v>
      </c>
      <c r="F1" s="250" t="s">
        <v>427</v>
      </c>
      <c r="G1" s="251"/>
      <c r="H1" s="248" t="s">
        <v>436</v>
      </c>
      <c r="I1"/>
    </row>
    <row r="2" spans="1:10" s="11" customFormat="1" ht="33" customHeight="1" thickBot="1">
      <c r="A2" s="243"/>
      <c r="B2" s="245"/>
      <c r="C2" s="269"/>
      <c r="D2" s="259"/>
      <c r="E2" s="249"/>
      <c r="F2" s="65" t="s">
        <v>420</v>
      </c>
      <c r="G2" s="65" t="s">
        <v>421</v>
      </c>
      <c r="H2" s="249"/>
      <c r="I2"/>
    </row>
    <row r="3" spans="1:10" s="36" customFormat="1" ht="24.95" customHeight="1">
      <c r="A3" s="76"/>
      <c r="B3" s="77" t="s">
        <v>425</v>
      </c>
      <c r="C3" s="78"/>
      <c r="D3" s="79"/>
      <c r="E3" s="157">
        <f>E4</f>
        <v>682156486.30999994</v>
      </c>
      <c r="F3" s="157">
        <f>H3-E3</f>
        <v>0</v>
      </c>
      <c r="G3" s="80">
        <f>H3/E3-1</f>
        <v>0</v>
      </c>
      <c r="H3" s="157">
        <f>H4</f>
        <v>682156486.30999994</v>
      </c>
    </row>
    <row r="4" spans="1:10" s="36" customFormat="1" ht="24.95" customHeight="1">
      <c r="A4" s="59">
        <v>1000</v>
      </c>
      <c r="B4" s="60" t="s">
        <v>2</v>
      </c>
      <c r="C4" s="61"/>
      <c r="D4" s="62"/>
      <c r="E4" s="133">
        <f>E5+E7+E9+E12+E16</f>
        <v>682156486.30999994</v>
      </c>
      <c r="F4" s="133">
        <f>H4-E4</f>
        <v>0</v>
      </c>
      <c r="G4" s="63">
        <f>H4/E4-1</f>
        <v>0</v>
      </c>
      <c r="H4" s="133">
        <f>H5+H7+H9+H12+H16</f>
        <v>682156486.30999994</v>
      </c>
    </row>
    <row r="5" spans="1:10" s="37" customFormat="1" ht="21.95" customHeight="1">
      <c r="A5" s="21">
        <v>1100</v>
      </c>
      <c r="B5" s="22" t="s">
        <v>3</v>
      </c>
      <c r="C5" s="23"/>
      <c r="D5" s="24"/>
      <c r="E5" s="130">
        <v>440130569</v>
      </c>
      <c r="F5" s="130">
        <f t="shared" ref="F5:F17" si="0">H5-E5</f>
        <v>0</v>
      </c>
      <c r="G5" s="25">
        <f>H5/E5-1</f>
        <v>0</v>
      </c>
      <c r="H5" s="130">
        <f>H6</f>
        <v>440130569</v>
      </c>
      <c r="J5" s="95"/>
    </row>
    <row r="6" spans="1:10" s="38" customFormat="1" ht="18.75" customHeight="1">
      <c r="A6" s="26">
        <v>113</v>
      </c>
      <c r="B6" s="27" t="s">
        <v>6</v>
      </c>
      <c r="C6" s="28"/>
      <c r="D6" s="29"/>
      <c r="E6" s="134">
        <v>440130569</v>
      </c>
      <c r="F6" s="134">
        <f t="shared" si="0"/>
        <v>0</v>
      </c>
      <c r="G6" s="35">
        <f>H6/E6-1</f>
        <v>0</v>
      </c>
      <c r="H6" s="134">
        <f>440130569</f>
        <v>440130569</v>
      </c>
      <c r="I6" s="114"/>
    </row>
    <row r="7" spans="1:10" s="37" customFormat="1" ht="21.95" customHeight="1">
      <c r="A7" s="21">
        <v>1200</v>
      </c>
      <c r="B7" s="22" t="s">
        <v>8</v>
      </c>
      <c r="C7" s="23"/>
      <c r="D7" s="24"/>
      <c r="E7" s="130">
        <v>5830000</v>
      </c>
      <c r="F7" s="130">
        <f t="shared" si="0"/>
        <v>0</v>
      </c>
      <c r="G7" s="25">
        <f>H7/E7-1</f>
        <v>0</v>
      </c>
      <c r="H7" s="130">
        <f>H8</f>
        <v>5830000</v>
      </c>
      <c r="I7" s="113"/>
    </row>
    <row r="8" spans="1:10" s="38" customFormat="1" ht="18.75" customHeight="1">
      <c r="A8" s="26">
        <v>122</v>
      </c>
      <c r="B8" s="27" t="s">
        <v>10</v>
      </c>
      <c r="C8" s="28"/>
      <c r="D8" s="29"/>
      <c r="E8" s="134">
        <v>5830000</v>
      </c>
      <c r="F8" s="134">
        <f t="shared" si="0"/>
        <v>0</v>
      </c>
      <c r="G8" s="35">
        <f t="shared" ref="G8:G17" si="1">H8/E8-1</f>
        <v>0</v>
      </c>
      <c r="H8" s="134">
        <v>5830000</v>
      </c>
      <c r="I8" s="114"/>
    </row>
    <row r="9" spans="1:10" s="37" customFormat="1" ht="21.95" customHeight="1">
      <c r="A9" s="21">
        <v>1300</v>
      </c>
      <c r="B9" s="22" t="s">
        <v>13</v>
      </c>
      <c r="C9" s="23"/>
      <c r="D9" s="24"/>
      <c r="E9" s="130">
        <v>84632138.810000002</v>
      </c>
      <c r="F9" s="130">
        <f t="shared" si="0"/>
        <v>0</v>
      </c>
      <c r="G9" s="25">
        <f>H9/E9-1</f>
        <v>0</v>
      </c>
      <c r="H9" s="130">
        <f>SUM(H10:H11)</f>
        <v>84632138.810000002</v>
      </c>
    </row>
    <row r="10" spans="1:10" s="38" customFormat="1" ht="18.75" customHeight="1">
      <c r="A10" s="26">
        <v>132</v>
      </c>
      <c r="B10" s="27" t="s">
        <v>15</v>
      </c>
      <c r="C10" s="28"/>
      <c r="D10" s="29"/>
      <c r="E10" s="134">
        <v>81469638.810000002</v>
      </c>
      <c r="F10" s="134">
        <f t="shared" si="0"/>
        <v>0</v>
      </c>
      <c r="G10" s="35">
        <f t="shared" si="1"/>
        <v>0</v>
      </c>
      <c r="H10" s="134">
        <f>81469638.81</f>
        <v>81469638.810000002</v>
      </c>
      <c r="I10" s="114"/>
    </row>
    <row r="11" spans="1:10" s="38" customFormat="1" ht="18.75" customHeight="1">
      <c r="A11" s="26">
        <v>133</v>
      </c>
      <c r="B11" s="27" t="s">
        <v>16</v>
      </c>
      <c r="C11" s="28"/>
      <c r="D11" s="29"/>
      <c r="E11" s="134">
        <v>3162500</v>
      </c>
      <c r="F11" s="134">
        <f t="shared" si="0"/>
        <v>0</v>
      </c>
      <c r="G11" s="35">
        <f t="shared" si="1"/>
        <v>0</v>
      </c>
      <c r="H11" s="134">
        <f>3162500</f>
        <v>3162500</v>
      </c>
    </row>
    <row r="12" spans="1:10" s="37" customFormat="1" ht="21.95" customHeight="1">
      <c r="A12" s="21">
        <v>1500</v>
      </c>
      <c r="B12" s="22" t="s">
        <v>27</v>
      </c>
      <c r="C12" s="23"/>
      <c r="D12" s="24"/>
      <c r="E12" s="130">
        <v>121721844.5</v>
      </c>
      <c r="F12" s="130">
        <f t="shared" si="0"/>
        <v>0</v>
      </c>
      <c r="G12" s="25">
        <f>H12/E12-1</f>
        <v>0</v>
      </c>
      <c r="H12" s="130">
        <f>H13+H14+H15</f>
        <v>121721844.5</v>
      </c>
    </row>
    <row r="13" spans="1:10" s="38" customFormat="1" ht="18.75" customHeight="1">
      <c r="A13" s="26">
        <v>152</v>
      </c>
      <c r="B13" s="27" t="s">
        <v>29</v>
      </c>
      <c r="C13" s="28"/>
      <c r="D13" s="29"/>
      <c r="E13" s="134">
        <v>13992000</v>
      </c>
      <c r="F13" s="134">
        <f t="shared" si="0"/>
        <v>0</v>
      </c>
      <c r="G13" s="35">
        <f t="shared" si="1"/>
        <v>0</v>
      </c>
      <c r="H13" s="134">
        <f>13992000</f>
        <v>13992000</v>
      </c>
    </row>
    <row r="14" spans="1:10" s="38" customFormat="1" ht="18.75" customHeight="1">
      <c r="A14" s="26">
        <v>153</v>
      </c>
      <c r="B14" s="27" t="s">
        <v>30</v>
      </c>
      <c r="C14" s="28"/>
      <c r="D14" s="29"/>
      <c r="E14" s="134">
        <v>0</v>
      </c>
      <c r="F14" s="134">
        <f t="shared" si="0"/>
        <v>0</v>
      </c>
      <c r="G14" s="35" t="s">
        <v>428</v>
      </c>
      <c r="H14" s="134">
        <v>0</v>
      </c>
    </row>
    <row r="15" spans="1:10" s="38" customFormat="1" ht="18.75" customHeight="1">
      <c r="A15" s="26">
        <v>154</v>
      </c>
      <c r="B15" s="27" t="s">
        <v>31</v>
      </c>
      <c r="C15" s="28"/>
      <c r="D15" s="29"/>
      <c r="E15" s="134">
        <v>107729844.5</v>
      </c>
      <c r="F15" s="134">
        <f t="shared" si="0"/>
        <v>0</v>
      </c>
      <c r="G15" s="35">
        <f t="shared" si="1"/>
        <v>0</v>
      </c>
      <c r="H15" s="134">
        <f>98075379+9654465.5</f>
        <v>107729844.5</v>
      </c>
      <c r="I15" s="169"/>
    </row>
    <row r="16" spans="1:10" s="37" customFormat="1" ht="32.25" customHeight="1">
      <c r="A16" s="21">
        <v>1700</v>
      </c>
      <c r="B16" s="22" t="s">
        <v>36</v>
      </c>
      <c r="C16" s="23"/>
      <c r="D16" s="24"/>
      <c r="E16" s="130">
        <v>29841934</v>
      </c>
      <c r="F16" s="130">
        <f t="shared" si="0"/>
        <v>0</v>
      </c>
      <c r="G16" s="25">
        <f>H16/E16-1</f>
        <v>0</v>
      </c>
      <c r="H16" s="130">
        <f>H17</f>
        <v>29841934</v>
      </c>
    </row>
    <row r="17" spans="1:8" s="38" customFormat="1" ht="18.75" customHeight="1">
      <c r="A17" s="26">
        <v>171</v>
      </c>
      <c r="B17" s="27" t="s">
        <v>37</v>
      </c>
      <c r="C17" s="28"/>
      <c r="D17" s="29"/>
      <c r="E17" s="134">
        <v>29841934</v>
      </c>
      <c r="F17" s="134">
        <f t="shared" si="0"/>
        <v>0</v>
      </c>
      <c r="G17" s="35">
        <f t="shared" si="1"/>
        <v>0</v>
      </c>
      <c r="H17" s="134">
        <v>29841934</v>
      </c>
    </row>
    <row r="18" spans="1:8">
      <c r="F18" s="100"/>
    </row>
    <row r="19" spans="1:8">
      <c r="F19" s="100"/>
    </row>
    <row r="20" spans="1:8">
      <c r="F20" s="100"/>
    </row>
    <row r="21" spans="1:8">
      <c r="F21" s="136"/>
    </row>
    <row r="22" spans="1:8">
      <c r="F22" s="102"/>
    </row>
    <row r="24" spans="1:8">
      <c r="F24" s="102"/>
    </row>
  </sheetData>
  <mergeCells count="6">
    <mergeCell ref="H1:H2"/>
    <mergeCell ref="A1:A2"/>
    <mergeCell ref="B1:B2"/>
    <mergeCell ref="C1:D2"/>
    <mergeCell ref="E1:E2"/>
    <mergeCell ref="F1:G1"/>
  </mergeCells>
  <phoneticPr fontId="5" type="noConversion"/>
  <dataValidations count="1">
    <dataValidation type="whole" errorStyle="warning" operator="greaterThan" allowBlank="1" showInputMessage="1" showErrorMessage="1" errorTitle="IMPORTANTE" error="Se recomienda leer las instrucciones antes de inciar con el llenado del presupuesto por objeto del gasto" sqref="B1:C1 E1:F1 H1">
      <formula1>0</formula1>
    </dataValidation>
  </dataValidations>
  <printOptions horizontalCentered="1" verticalCentered="1"/>
  <pageMargins left="0" right="0" top="0.19685039370078741" bottom="0" header="0" footer="0"/>
  <pageSetup scale="7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39"/>
  <sheetViews>
    <sheetView workbookViewId="0">
      <pane xSplit="1" ySplit="3" topLeftCell="B4" activePane="bottomRight" state="frozen"/>
      <selection activeCell="B73" sqref="B73:B86"/>
      <selection pane="topRight" activeCell="B73" sqref="B73:B86"/>
      <selection pane="bottomLeft" activeCell="B73" sqref="B73:B86"/>
      <selection pane="bottomRight" activeCell="H1" sqref="H1:H2"/>
    </sheetView>
  </sheetViews>
  <sheetFormatPr baseColWidth="10" defaultColWidth="11.42578125" defaultRowHeight="15"/>
  <cols>
    <col min="1" max="1" width="11.5703125" bestFit="1" customWidth="1"/>
    <col min="2" max="2" width="86.7109375" customWidth="1"/>
    <col min="3" max="3" width="21.140625" hidden="1" customWidth="1"/>
    <col min="4" max="4" width="5.42578125" hidden="1" customWidth="1"/>
    <col min="5" max="5" width="18.7109375" customWidth="1"/>
    <col min="6" max="6" width="15.7109375" customWidth="1"/>
    <col min="7" max="7" width="9.140625" bestFit="1" customWidth="1"/>
    <col min="8" max="8" width="18.7109375" customWidth="1"/>
    <col min="9" max="9" width="15.140625" bestFit="1" customWidth="1"/>
    <col min="10" max="10" width="11.7109375" bestFit="1" customWidth="1"/>
  </cols>
  <sheetData>
    <row r="1" spans="1:9" s="11" customFormat="1" ht="30" customHeight="1" thickBot="1">
      <c r="A1" s="242" t="s">
        <v>0</v>
      </c>
      <c r="B1" s="244" t="s">
        <v>1</v>
      </c>
      <c r="C1" s="268" t="s">
        <v>419</v>
      </c>
      <c r="D1" s="258"/>
      <c r="E1" s="248" t="s">
        <v>429</v>
      </c>
      <c r="F1" s="250" t="s">
        <v>427</v>
      </c>
      <c r="G1" s="270"/>
      <c r="H1" s="248" t="s">
        <v>436</v>
      </c>
      <c r="I1"/>
    </row>
    <row r="2" spans="1:9" s="11" customFormat="1" ht="15" customHeight="1" thickBot="1">
      <c r="A2" s="243"/>
      <c r="B2" s="245"/>
      <c r="C2" s="269"/>
      <c r="D2" s="259"/>
      <c r="E2" s="249"/>
      <c r="F2" s="65" t="s">
        <v>420</v>
      </c>
      <c r="G2" s="65" t="s">
        <v>421</v>
      </c>
      <c r="H2" s="249"/>
      <c r="I2"/>
    </row>
    <row r="3" spans="1:9" s="36" customFormat="1" ht="24.95" customHeight="1">
      <c r="A3" s="76"/>
      <c r="B3" s="77" t="s">
        <v>424</v>
      </c>
      <c r="C3" s="78"/>
      <c r="D3" s="79"/>
      <c r="E3" s="157">
        <f>E4+E9+E16</f>
        <v>165440709.04999998</v>
      </c>
      <c r="F3" s="157">
        <f>H3-E3</f>
        <v>0.17360001802444458</v>
      </c>
      <c r="G3" s="80">
        <f>H3/E3-1</f>
        <v>1.0493186319848746E-9</v>
      </c>
      <c r="H3" s="157">
        <f>H4+H9+H16</f>
        <v>165440709.2236</v>
      </c>
    </row>
    <row r="4" spans="1:9" s="36" customFormat="1" ht="24.95" customHeight="1">
      <c r="A4" s="59">
        <v>3000</v>
      </c>
      <c r="B4" s="60" t="s">
        <v>107</v>
      </c>
      <c r="C4" s="61"/>
      <c r="D4" s="62"/>
      <c r="E4" s="133">
        <f>E5+E7</f>
        <v>2617922.8199999998</v>
      </c>
      <c r="F4" s="133">
        <f t="shared" ref="F4:F21" si="0">H4-E4</f>
        <v>92294.180000000168</v>
      </c>
      <c r="G4" s="63">
        <f>H4/E4-1</f>
        <v>3.5254736806946907E-2</v>
      </c>
      <c r="H4" s="133">
        <f>H5+H7</f>
        <v>2710217</v>
      </c>
    </row>
    <row r="5" spans="1:9" s="37" customFormat="1" ht="21.95" customHeight="1">
      <c r="A5" s="21">
        <v>3300</v>
      </c>
      <c r="B5" s="22" t="s">
        <v>128</v>
      </c>
      <c r="C5" s="23"/>
      <c r="D5" s="24"/>
      <c r="E5" s="130">
        <f>E6</f>
        <v>2437922.8199999998</v>
      </c>
      <c r="F5" s="130">
        <f t="shared" si="0"/>
        <v>92294.180000000168</v>
      </c>
      <c r="G5" s="25">
        <f>H5/E5-1</f>
        <v>3.7857712000907373E-2</v>
      </c>
      <c r="H5" s="130">
        <f>H6</f>
        <v>2530217</v>
      </c>
    </row>
    <row r="6" spans="1:9" s="38" customFormat="1" ht="18.75" customHeight="1">
      <c r="A6" s="26">
        <v>332</v>
      </c>
      <c r="B6" s="27" t="s">
        <v>130</v>
      </c>
      <c r="C6" s="28"/>
      <c r="D6" s="29"/>
      <c r="E6" s="134">
        <v>2437922.8199999998</v>
      </c>
      <c r="F6" s="134">
        <f t="shared" si="0"/>
        <v>92294.180000000168</v>
      </c>
      <c r="G6" s="30">
        <f>H6/E6-1</f>
        <v>3.7857712000907373E-2</v>
      </c>
      <c r="H6" s="134">
        <f>2710217-180000</f>
        <v>2530217</v>
      </c>
    </row>
    <row r="7" spans="1:9" s="38" customFormat="1" ht="18.75" customHeight="1">
      <c r="A7" s="21">
        <v>3600</v>
      </c>
      <c r="B7" s="22" t="s">
        <v>158</v>
      </c>
      <c r="C7" s="23"/>
      <c r="D7" s="24"/>
      <c r="E7" s="24">
        <f>E8</f>
        <v>180000</v>
      </c>
      <c r="F7" s="24">
        <f t="shared" si="0"/>
        <v>0</v>
      </c>
      <c r="G7" s="30">
        <f t="shared" ref="G7:G21" si="1">H7/E7-1</f>
        <v>0</v>
      </c>
      <c r="H7" s="24">
        <f>H8</f>
        <v>180000</v>
      </c>
    </row>
    <row r="8" spans="1:9" s="38" customFormat="1" ht="18.75" customHeight="1">
      <c r="A8" s="26">
        <v>361</v>
      </c>
      <c r="B8" s="27" t="s">
        <v>159</v>
      </c>
      <c r="C8" s="28"/>
      <c r="D8" s="29"/>
      <c r="E8" s="166">
        <v>180000</v>
      </c>
      <c r="F8" s="167">
        <f t="shared" si="0"/>
        <v>0</v>
      </c>
      <c r="G8" s="30">
        <f t="shared" si="1"/>
        <v>0</v>
      </c>
      <c r="H8" s="166">
        <v>180000</v>
      </c>
    </row>
    <row r="9" spans="1:9" s="36" customFormat="1" ht="24.95" customHeight="1">
      <c r="A9" s="59">
        <v>5000</v>
      </c>
      <c r="B9" s="60" t="s">
        <v>241</v>
      </c>
      <c r="C9" s="61"/>
      <c r="D9" s="62"/>
      <c r="E9" s="133">
        <f>E10</f>
        <v>1745281.88</v>
      </c>
      <c r="F9" s="133">
        <f t="shared" si="0"/>
        <v>61529.343600000255</v>
      </c>
      <c r="G9" s="63">
        <f>G10</f>
        <v>3.5254673932671787E-2</v>
      </c>
      <c r="H9" s="133">
        <f>H10</f>
        <v>1806811.2236000001</v>
      </c>
    </row>
    <row r="10" spans="1:9" s="37" customFormat="1" ht="21.95" customHeight="1">
      <c r="A10" s="21">
        <v>5100</v>
      </c>
      <c r="B10" s="22" t="s">
        <v>242</v>
      </c>
      <c r="C10" s="23"/>
      <c r="D10" s="24"/>
      <c r="E10" s="130">
        <f>E11+E12</f>
        <v>1745281.88</v>
      </c>
      <c r="F10" s="130">
        <f t="shared" si="0"/>
        <v>61529.343600000255</v>
      </c>
      <c r="G10" s="25">
        <f t="shared" si="1"/>
        <v>3.5254673932671787E-2</v>
      </c>
      <c r="H10" s="130">
        <f>H11+H12</f>
        <v>1806811.2236000001</v>
      </c>
    </row>
    <row r="11" spans="1:9" s="38" customFormat="1" ht="18.75" customHeight="1">
      <c r="A11" s="26">
        <v>511</v>
      </c>
      <c r="B11" s="27" t="s">
        <v>243</v>
      </c>
      <c r="C11" s="28"/>
      <c r="D11" s="29"/>
      <c r="E11" s="134">
        <v>0</v>
      </c>
      <c r="F11" s="134">
        <f t="shared" si="0"/>
        <v>0</v>
      </c>
      <c r="G11" s="30" t="s">
        <v>428</v>
      </c>
      <c r="H11" s="134">
        <v>0</v>
      </c>
    </row>
    <row r="12" spans="1:9" s="38" customFormat="1" ht="18.75" customHeight="1">
      <c r="A12" s="26">
        <v>515</v>
      </c>
      <c r="B12" s="27" t="s">
        <v>247</v>
      </c>
      <c r="C12" s="28"/>
      <c r="D12" s="29"/>
      <c r="E12" s="134">
        <v>1745281.88</v>
      </c>
      <c r="F12" s="134">
        <f t="shared" si="0"/>
        <v>61529.343600000255</v>
      </c>
      <c r="G12" s="30">
        <f t="shared" si="1"/>
        <v>3.5254673932671787E-2</v>
      </c>
      <c r="H12" s="134">
        <v>1806811.2236000001</v>
      </c>
    </row>
    <row r="13" spans="1:9" s="38" customFormat="1" ht="18.75" hidden="1" customHeight="1">
      <c r="A13" s="26">
        <v>519</v>
      </c>
      <c r="B13" s="27" t="s">
        <v>248</v>
      </c>
      <c r="C13" s="28"/>
      <c r="D13" s="29"/>
      <c r="E13" s="134">
        <v>0</v>
      </c>
      <c r="F13" s="134">
        <f t="shared" si="0"/>
        <v>0</v>
      </c>
      <c r="G13" s="30" t="e">
        <f>H13/E13-1</f>
        <v>#DIV/0!</v>
      </c>
      <c r="H13" s="134">
        <v>0</v>
      </c>
      <c r="I13" s="38" t="s">
        <v>418</v>
      </c>
    </row>
    <row r="14" spans="1:9" s="38" customFormat="1" ht="18.75" hidden="1" customHeight="1">
      <c r="A14" s="26">
        <v>523</v>
      </c>
      <c r="B14" s="27" t="s">
        <v>414</v>
      </c>
      <c r="C14" s="28"/>
      <c r="D14" s="29"/>
      <c r="E14" s="134">
        <v>0</v>
      </c>
      <c r="F14" s="134">
        <f t="shared" si="0"/>
        <v>0</v>
      </c>
      <c r="G14" s="30" t="e">
        <f>H14/E14-1</f>
        <v>#DIV/0!</v>
      </c>
      <c r="H14" s="134">
        <v>0</v>
      </c>
      <c r="I14" s="38" t="s">
        <v>417</v>
      </c>
    </row>
    <row r="15" spans="1:9" s="38" customFormat="1" ht="18.75" hidden="1" customHeight="1">
      <c r="A15" s="26">
        <v>567</v>
      </c>
      <c r="B15" s="27" t="s">
        <v>415</v>
      </c>
      <c r="C15" s="28"/>
      <c r="D15" s="29"/>
      <c r="E15" s="134">
        <v>0</v>
      </c>
      <c r="F15" s="134">
        <f t="shared" si="0"/>
        <v>0</v>
      </c>
      <c r="G15" s="30" t="e">
        <f>H15/E15-1</f>
        <v>#DIV/0!</v>
      </c>
      <c r="H15" s="134">
        <v>0</v>
      </c>
      <c r="I15" s="38" t="s">
        <v>416</v>
      </c>
    </row>
    <row r="16" spans="1:9" s="36" customFormat="1" ht="24.95" customHeight="1">
      <c r="A16" s="59">
        <v>6000</v>
      </c>
      <c r="B16" s="60" t="s">
        <v>301</v>
      </c>
      <c r="C16" s="61"/>
      <c r="D16" s="62"/>
      <c r="E16" s="133">
        <f>E17</f>
        <v>161077504.34999999</v>
      </c>
      <c r="F16" s="133">
        <f t="shared" si="0"/>
        <v>-153823.34999999404</v>
      </c>
      <c r="G16" s="63">
        <f t="shared" si="1"/>
        <v>-9.549648203249772E-4</v>
      </c>
      <c r="H16" s="133">
        <f>H17</f>
        <v>160923681</v>
      </c>
    </row>
    <row r="17" spans="1:10" s="37" customFormat="1" ht="21.95" customHeight="1">
      <c r="A17" s="21">
        <v>6100</v>
      </c>
      <c r="B17" s="22" t="s">
        <v>302</v>
      </c>
      <c r="C17" s="23"/>
      <c r="D17" s="24"/>
      <c r="E17" s="130">
        <f>E19+E21</f>
        <v>161077504.34999999</v>
      </c>
      <c r="F17" s="130">
        <f t="shared" si="0"/>
        <v>-153823.34999999404</v>
      </c>
      <c r="G17" s="25">
        <f t="shared" si="1"/>
        <v>-9.549648203249772E-4</v>
      </c>
      <c r="H17" s="130">
        <f>SUM(H18:H21)</f>
        <v>160923681</v>
      </c>
    </row>
    <row r="18" spans="1:10" s="38" customFormat="1" ht="18.75" customHeight="1">
      <c r="A18" s="26">
        <v>612</v>
      </c>
      <c r="B18" s="27" t="s">
        <v>304</v>
      </c>
      <c r="C18" s="28"/>
      <c r="D18" s="29"/>
      <c r="E18" s="134">
        <v>0</v>
      </c>
      <c r="F18" s="134">
        <f t="shared" si="0"/>
        <v>28440583</v>
      </c>
      <c r="G18" s="30" t="s">
        <v>428</v>
      </c>
      <c r="H18" s="134">
        <f>30937584-2497001</f>
        <v>28440583</v>
      </c>
    </row>
    <row r="19" spans="1:10" s="38" customFormat="1" ht="18.75" customHeight="1">
      <c r="A19" s="26">
        <v>613</v>
      </c>
      <c r="B19" s="27" t="s">
        <v>305</v>
      </c>
      <c r="C19" s="28"/>
      <c r="D19" s="29"/>
      <c r="E19" s="134">
        <v>61077504.349999994</v>
      </c>
      <c r="F19" s="134">
        <f t="shared" si="0"/>
        <v>-5017696.349999994</v>
      </c>
      <c r="G19" s="30">
        <f t="shared" si="1"/>
        <v>-8.2152936721947012E-2</v>
      </c>
      <c r="H19" s="134">
        <f>58556809-2497001</f>
        <v>56059808</v>
      </c>
    </row>
    <row r="20" spans="1:10" s="38" customFormat="1" ht="18.75" customHeight="1">
      <c r="A20" s="26">
        <v>614</v>
      </c>
      <c r="B20" s="27" t="s">
        <v>306</v>
      </c>
      <c r="C20" s="28"/>
      <c r="D20" s="185"/>
      <c r="E20" s="134"/>
      <c r="F20" s="134">
        <f t="shared" si="0"/>
        <v>75648986</v>
      </c>
      <c r="G20" s="30" t="s">
        <v>428</v>
      </c>
      <c r="H20" s="134">
        <f>78145987-2497001</f>
        <v>75648986</v>
      </c>
    </row>
    <row r="21" spans="1:10" s="38" customFormat="1" ht="12.75">
      <c r="A21" s="26">
        <v>615</v>
      </c>
      <c r="B21" s="27" t="s">
        <v>307</v>
      </c>
      <c r="C21" s="28"/>
      <c r="D21" s="168"/>
      <c r="E21" s="134">
        <v>100000000</v>
      </c>
      <c r="F21" s="29">
        <f t="shared" si="0"/>
        <v>-99225696</v>
      </c>
      <c r="G21" s="30">
        <f t="shared" si="1"/>
        <v>-0.99225695999999997</v>
      </c>
      <c r="H21" s="134">
        <v>774304</v>
      </c>
      <c r="J21" s="88"/>
    </row>
    <row r="22" spans="1:10" s="38" customFormat="1" ht="12.75" hidden="1">
      <c r="A22" s="26"/>
      <c r="B22" s="27"/>
      <c r="C22" s="28" t="s">
        <v>402</v>
      </c>
      <c r="D22" s="29"/>
      <c r="E22" s="29"/>
      <c r="F22" s="29"/>
      <c r="G22" s="30" t="e">
        <f>H22/E22-1</f>
        <v>#DIV/0!</v>
      </c>
      <c r="H22" s="134">
        <v>100000000</v>
      </c>
    </row>
    <row r="23" spans="1:10" s="38" customFormat="1" ht="12.75" hidden="1">
      <c r="A23" s="26"/>
      <c r="B23" s="27"/>
      <c r="C23" s="28" t="s">
        <v>403</v>
      </c>
      <c r="D23" s="29"/>
      <c r="E23" s="29"/>
      <c r="F23" s="29"/>
      <c r="G23" s="30" t="e">
        <f>H23/E23-1</f>
        <v>#DIV/0!</v>
      </c>
      <c r="H23" s="134">
        <f>+E23+F23</f>
        <v>0</v>
      </c>
    </row>
    <row r="24" spans="1:10" s="38" customFormat="1" ht="12.75" hidden="1">
      <c r="A24" s="26"/>
      <c r="B24" s="27"/>
      <c r="C24" s="28" t="s">
        <v>404</v>
      </c>
      <c r="D24" s="29"/>
      <c r="E24" s="29"/>
      <c r="F24" s="29"/>
      <c r="G24" s="30" t="e">
        <f>H24/E24-1</f>
        <v>#DIV/0!</v>
      </c>
      <c r="H24" s="134">
        <f>+E24+F24</f>
        <v>0</v>
      </c>
    </row>
    <row r="25" spans="1:10" s="38" customFormat="1" ht="12.75" hidden="1">
      <c r="A25" s="26"/>
      <c r="B25" s="27"/>
      <c r="C25" s="28" t="s">
        <v>405</v>
      </c>
      <c r="D25" s="29"/>
      <c r="E25" s="29"/>
      <c r="F25" s="29"/>
      <c r="G25" s="30" t="e">
        <f>H25/E25-1</f>
        <v>#DIV/0!</v>
      </c>
      <c r="H25" s="134">
        <f>+E25+F25</f>
        <v>0</v>
      </c>
    </row>
    <row r="26" spans="1:10" s="38" customFormat="1" ht="12.75" hidden="1">
      <c r="A26" s="26"/>
      <c r="B26" s="27"/>
      <c r="C26" s="28" t="s">
        <v>406</v>
      </c>
      <c r="D26" s="29"/>
      <c r="E26" s="29"/>
      <c r="F26" s="29"/>
      <c r="G26" s="30" t="e">
        <f>H26/E26-1</f>
        <v>#DIV/0!</v>
      </c>
      <c r="H26" s="134">
        <f>+E26+F26</f>
        <v>0</v>
      </c>
    </row>
    <row r="27" spans="1:10">
      <c r="E27" s="225"/>
      <c r="F27" s="225"/>
      <c r="G27" s="225"/>
      <c r="H27" s="226"/>
    </row>
    <row r="28" spans="1:10">
      <c r="E28" s="227">
        <v>2008</v>
      </c>
      <c r="F28" s="227">
        <v>5787117</v>
      </c>
      <c r="G28" s="225"/>
      <c r="H28" s="228"/>
    </row>
    <row r="29" spans="1:10">
      <c r="E29" s="227">
        <v>2010</v>
      </c>
      <c r="F29" s="227">
        <v>1790283</v>
      </c>
      <c r="G29" s="225"/>
      <c r="H29" s="228"/>
    </row>
    <row r="30" spans="1:10">
      <c r="E30" s="225">
        <v>2011</v>
      </c>
      <c r="F30" s="227">
        <v>8550684</v>
      </c>
      <c r="G30" s="225"/>
      <c r="H30" s="228"/>
    </row>
    <row r="31" spans="1:10">
      <c r="E31" s="225">
        <v>2012</v>
      </c>
      <c r="F31" s="227">
        <v>57340573.359999999</v>
      </c>
      <c r="G31" s="225"/>
      <c r="H31" s="228"/>
    </row>
    <row r="32" spans="1:10">
      <c r="E32" s="225"/>
      <c r="F32" s="229">
        <f>SUM(F28:F31)</f>
        <v>73468657.359999999</v>
      </c>
      <c r="G32" s="230"/>
      <c r="H32" s="231">
        <f>F33*0.03</f>
        <v>2710216.8354000002</v>
      </c>
    </row>
    <row r="33" spans="5:9">
      <c r="E33" s="225">
        <v>2013</v>
      </c>
      <c r="F33" s="227">
        <v>90340561.180000007</v>
      </c>
      <c r="G33" s="225"/>
      <c r="H33" s="232">
        <f>F33*0.02</f>
        <v>1806811.2236000001</v>
      </c>
    </row>
    <row r="34" spans="5:9">
      <c r="E34" s="225"/>
      <c r="F34" s="226">
        <f>SUM(F32:F33)</f>
        <v>163809218.54000002</v>
      </c>
      <c r="G34" s="225"/>
      <c r="H34" s="233"/>
    </row>
    <row r="35" spans="5:9">
      <c r="E35" s="225"/>
      <c r="F35" s="226"/>
      <c r="G35" s="225"/>
      <c r="H35" s="233"/>
    </row>
    <row r="36" spans="5:9">
      <c r="E36" s="101"/>
      <c r="H36" s="101"/>
      <c r="I36" s="101"/>
    </row>
    <row r="37" spans="5:9">
      <c r="H37" s="102"/>
    </row>
    <row r="38" spans="5:9">
      <c r="H38" s="101"/>
    </row>
    <row r="39" spans="5:9">
      <c r="H39" s="101"/>
    </row>
  </sheetData>
  <sheetProtection selectLockedCells="1" selectUnlockedCells="1"/>
  <mergeCells count="6">
    <mergeCell ref="H1:H2"/>
    <mergeCell ref="A1:A2"/>
    <mergeCell ref="B1:B2"/>
    <mergeCell ref="C1:D2"/>
    <mergeCell ref="E1:E2"/>
    <mergeCell ref="F1:G1"/>
  </mergeCells>
  <phoneticPr fontId="5" type="noConversion"/>
  <conditionalFormatting sqref="H8 E8">
    <cfRule type="containsBlanks" dxfId="0" priority="1">
      <formula>LEN(TRIM(E8))=0</formula>
    </cfRule>
  </conditionalFormatting>
  <dataValidations count="1">
    <dataValidation type="whole" errorStyle="warning" operator="greaterThan" allowBlank="1" showInputMessage="1" showErrorMessage="1" errorTitle="IMPORTANTE" error="Se recomienda leer las instrucciones antes de inciar con el llenado del presupuesto por objeto del gasto" sqref="B1:C1 H1 E1:F1">
      <formula1>0</formula1>
    </dataValidation>
  </dataValidations>
  <printOptions horizontalCentered="1"/>
  <pageMargins left="0" right="0" top="0.59055118110236227" bottom="0" header="0" footer="0"/>
  <pageSetup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J72"/>
  <sheetViews>
    <sheetView showGridLines="0" workbookViewId="0">
      <pane xSplit="1" ySplit="4" topLeftCell="B5" activePane="bottomRight" state="frozen"/>
      <selection activeCell="B73" sqref="B73:B86"/>
      <selection pane="topRight" activeCell="B73" sqref="B73:B86"/>
      <selection pane="bottomLeft" activeCell="B73" sqref="B73:B86"/>
      <selection pane="bottomRight" activeCell="H1" sqref="H1:H2"/>
    </sheetView>
  </sheetViews>
  <sheetFormatPr baseColWidth="10" defaultColWidth="11.42578125" defaultRowHeight="15"/>
  <cols>
    <col min="2" max="2" width="70.28515625" customWidth="1"/>
    <col min="3" max="3" width="9.28515625" hidden="1" customWidth="1"/>
    <col min="4" max="4" width="9.5703125" hidden="1" customWidth="1"/>
    <col min="5" max="5" width="18.7109375" customWidth="1"/>
    <col min="6" max="6" width="15.7109375" customWidth="1"/>
    <col min="7" max="7" width="16.28515625" bestFit="1" customWidth="1"/>
    <col min="8" max="8" width="18.7109375" customWidth="1"/>
    <col min="9" max="9" width="16.28515625" bestFit="1" customWidth="1"/>
    <col min="10" max="10" width="9.42578125" customWidth="1"/>
  </cols>
  <sheetData>
    <row r="1" spans="1:10" s="11" customFormat="1" ht="30" customHeight="1" thickBot="1">
      <c r="A1" s="242" t="s">
        <v>0</v>
      </c>
      <c r="B1" s="244" t="s">
        <v>1</v>
      </c>
      <c r="C1" s="268" t="s">
        <v>419</v>
      </c>
      <c r="D1" s="258"/>
      <c r="E1" s="248" t="s">
        <v>429</v>
      </c>
      <c r="F1" s="250" t="s">
        <v>427</v>
      </c>
      <c r="G1" s="270"/>
      <c r="H1" s="248" t="s">
        <v>436</v>
      </c>
      <c r="I1"/>
    </row>
    <row r="2" spans="1:10" s="11" customFormat="1" ht="15" customHeight="1" thickBot="1">
      <c r="A2" s="243"/>
      <c r="B2" s="245"/>
      <c r="C2" s="269"/>
      <c r="D2" s="259"/>
      <c r="E2" s="249"/>
      <c r="F2" s="65" t="s">
        <v>420</v>
      </c>
      <c r="G2" s="65" t="s">
        <v>421</v>
      </c>
      <c r="H2" s="249"/>
      <c r="I2"/>
    </row>
    <row r="3" spans="1:10" s="36" customFormat="1" ht="24.95" customHeight="1">
      <c r="A3" s="76"/>
      <c r="B3" s="77" t="s">
        <v>399</v>
      </c>
      <c r="C3" s="78"/>
      <c r="D3" s="79"/>
      <c r="E3" s="157">
        <f>E4+E20+E25+E34+E58+E61</f>
        <v>121466866.3</v>
      </c>
      <c r="F3" s="157">
        <f>H3-E3</f>
        <v>0.20000000298023224</v>
      </c>
      <c r="G3" s="80">
        <f>H3/E3-1</f>
        <v>1.6465395713538555E-9</v>
      </c>
      <c r="H3" s="157">
        <f>H4+H20+H25+H34+H58+H61</f>
        <v>121466866.5</v>
      </c>
      <c r="I3" s="271"/>
      <c r="J3" s="272"/>
    </row>
    <row r="4" spans="1:10" s="36" customFormat="1" ht="24.95" customHeight="1">
      <c r="A4" s="59">
        <v>1000</v>
      </c>
      <c r="B4" s="60" t="s">
        <v>2</v>
      </c>
      <c r="C4" s="61"/>
      <c r="D4" s="62"/>
      <c r="E4" s="133">
        <f>E5+E16+E18</f>
        <v>26064400.369999997</v>
      </c>
      <c r="F4" s="133">
        <f t="shared" ref="F4:F63" si="0">H4-E4</f>
        <v>3151252.1300000027</v>
      </c>
      <c r="G4" s="63">
        <f>H4/E4-1</f>
        <v>0.12090253699552123</v>
      </c>
      <c r="H4" s="133">
        <f>H5+H16+H18</f>
        <v>29215652.5</v>
      </c>
      <c r="I4" s="271"/>
      <c r="J4" s="272"/>
    </row>
    <row r="5" spans="1:10" s="37" customFormat="1" ht="35.25" customHeight="1">
      <c r="A5" s="21">
        <v>1100</v>
      </c>
      <c r="B5" s="22" t="s">
        <v>3</v>
      </c>
      <c r="C5" s="23"/>
      <c r="D5" s="24"/>
      <c r="E5" s="130">
        <f>E6</f>
        <v>26064400.369999997</v>
      </c>
      <c r="F5" s="130">
        <f t="shared" si="0"/>
        <v>-18509080.369999997</v>
      </c>
      <c r="G5" s="25">
        <f t="shared" ref="G5:G13" si="1">H5/E5-1</f>
        <v>-0.71012876211431519</v>
      </c>
      <c r="H5" s="130">
        <f>H6</f>
        <v>7555320</v>
      </c>
      <c r="I5" s="271"/>
      <c r="J5" s="272"/>
    </row>
    <row r="6" spans="1:10" s="38" customFormat="1" ht="18.75" customHeight="1">
      <c r="A6" s="26">
        <v>113</v>
      </c>
      <c r="B6" s="27" t="s">
        <v>6</v>
      </c>
      <c r="C6" s="28"/>
      <c r="D6" s="29"/>
      <c r="E6" s="134">
        <v>26064400.369999997</v>
      </c>
      <c r="F6" s="134">
        <f t="shared" si="0"/>
        <v>-18509080.369999997</v>
      </c>
      <c r="G6" s="30">
        <f t="shared" si="1"/>
        <v>-0.71012876211431519</v>
      </c>
      <c r="H6" s="134">
        <v>7555320</v>
      </c>
      <c r="J6" s="88"/>
    </row>
    <row r="7" spans="1:10" s="37" customFormat="1" ht="21.95" hidden="1" customHeight="1">
      <c r="A7" s="21">
        <v>1200</v>
      </c>
      <c r="B7" s="22" t="s">
        <v>8</v>
      </c>
      <c r="C7" s="23"/>
      <c r="D7" s="24"/>
      <c r="E7" s="130">
        <v>0</v>
      </c>
      <c r="F7" s="130">
        <f t="shared" si="0"/>
        <v>0</v>
      </c>
      <c r="G7" s="25" t="e">
        <f>H7/E7-1</f>
        <v>#DIV/0!</v>
      </c>
      <c r="H7" s="130">
        <v>0</v>
      </c>
    </row>
    <row r="8" spans="1:10" s="38" customFormat="1" ht="18.75" hidden="1" customHeight="1">
      <c r="A8" s="26">
        <v>122</v>
      </c>
      <c r="B8" s="27" t="s">
        <v>10</v>
      </c>
      <c r="C8" s="28"/>
      <c r="D8" s="29"/>
      <c r="E8" s="134">
        <v>0</v>
      </c>
      <c r="F8" s="134">
        <f t="shared" si="0"/>
        <v>0</v>
      </c>
      <c r="G8" s="30" t="e">
        <f t="shared" si="1"/>
        <v>#DIV/0!</v>
      </c>
      <c r="H8" s="134">
        <v>0</v>
      </c>
    </row>
    <row r="9" spans="1:10" s="36" customFormat="1" ht="24.95" hidden="1" customHeight="1">
      <c r="A9" s="59">
        <v>2000</v>
      </c>
      <c r="B9" s="60" t="s">
        <v>42</v>
      </c>
      <c r="C9" s="61"/>
      <c r="D9" s="62"/>
      <c r="E9" s="133">
        <v>0</v>
      </c>
      <c r="F9" s="133">
        <f t="shared" si="0"/>
        <v>0</v>
      </c>
      <c r="G9" s="63" t="e">
        <f t="shared" si="1"/>
        <v>#DIV/0!</v>
      </c>
      <c r="H9" s="133">
        <v>0</v>
      </c>
    </row>
    <row r="10" spans="1:10" s="37" customFormat="1" ht="21.95" hidden="1" customHeight="1">
      <c r="A10" s="21">
        <v>2700</v>
      </c>
      <c r="B10" s="22" t="s">
        <v>87</v>
      </c>
      <c r="C10" s="23"/>
      <c r="D10" s="24"/>
      <c r="E10" s="130">
        <v>0</v>
      </c>
      <c r="F10" s="130">
        <f t="shared" si="0"/>
        <v>0</v>
      </c>
      <c r="G10" s="25" t="e">
        <f t="shared" si="1"/>
        <v>#DIV/0!</v>
      </c>
      <c r="H10" s="130">
        <v>0</v>
      </c>
    </row>
    <row r="11" spans="1:10" s="38" customFormat="1" ht="18.75" hidden="1" customHeight="1">
      <c r="A11" s="26">
        <v>271</v>
      </c>
      <c r="B11" s="27" t="s">
        <v>88</v>
      </c>
      <c r="C11" s="28"/>
      <c r="D11" s="29"/>
      <c r="E11" s="134">
        <v>0</v>
      </c>
      <c r="F11" s="134">
        <f t="shared" si="0"/>
        <v>0</v>
      </c>
      <c r="G11" s="30" t="e">
        <f t="shared" si="1"/>
        <v>#DIV/0!</v>
      </c>
      <c r="H11" s="134">
        <v>0</v>
      </c>
    </row>
    <row r="12" spans="1:10" s="38" customFormat="1" ht="18.75" hidden="1" customHeight="1">
      <c r="A12" s="26">
        <v>272</v>
      </c>
      <c r="B12" s="27" t="s">
        <v>89</v>
      </c>
      <c r="C12" s="28"/>
      <c r="D12" s="29"/>
      <c r="E12" s="134">
        <v>0</v>
      </c>
      <c r="F12" s="134">
        <f t="shared" si="0"/>
        <v>0</v>
      </c>
      <c r="G12" s="30" t="e">
        <f t="shared" si="1"/>
        <v>#DIV/0!</v>
      </c>
      <c r="H12" s="134">
        <v>0</v>
      </c>
    </row>
    <row r="13" spans="1:10" s="37" customFormat="1" ht="21" hidden="1" customHeight="1">
      <c r="A13" s="21">
        <v>2800</v>
      </c>
      <c r="B13" s="22" t="s">
        <v>93</v>
      </c>
      <c r="C13" s="23"/>
      <c r="D13" s="24"/>
      <c r="E13" s="130">
        <v>0</v>
      </c>
      <c r="F13" s="130">
        <f t="shared" si="0"/>
        <v>0</v>
      </c>
      <c r="G13" s="25" t="e">
        <f t="shared" si="1"/>
        <v>#DIV/0!</v>
      </c>
      <c r="H13" s="130">
        <v>0</v>
      </c>
    </row>
    <row r="14" spans="1:10" s="38" customFormat="1" ht="18.75" hidden="1" customHeight="1">
      <c r="A14" s="26">
        <v>282</v>
      </c>
      <c r="B14" s="27" t="s">
        <v>95</v>
      </c>
      <c r="C14" s="28"/>
      <c r="D14" s="29"/>
      <c r="E14" s="134">
        <v>0</v>
      </c>
      <c r="F14" s="134">
        <f t="shared" si="0"/>
        <v>0</v>
      </c>
      <c r="G14" s="30"/>
      <c r="H14" s="134">
        <v>0</v>
      </c>
    </row>
    <row r="15" spans="1:10" s="38" customFormat="1" ht="18.75" hidden="1" customHeight="1">
      <c r="A15" s="26">
        <v>283</v>
      </c>
      <c r="B15" s="27" t="s">
        <v>96</v>
      </c>
      <c r="C15" s="28"/>
      <c r="D15" s="29"/>
      <c r="E15" s="134">
        <v>0</v>
      </c>
      <c r="F15" s="134">
        <f t="shared" si="0"/>
        <v>0</v>
      </c>
      <c r="G15" s="30"/>
      <c r="H15" s="134">
        <v>0</v>
      </c>
    </row>
    <row r="16" spans="1:10" s="37" customFormat="1" ht="21.95" customHeight="1">
      <c r="A16" s="21">
        <v>1400</v>
      </c>
      <c r="B16" s="22" t="s">
        <v>22</v>
      </c>
      <c r="C16" s="23"/>
      <c r="D16" s="24"/>
      <c r="E16" s="130">
        <f>E17</f>
        <v>0</v>
      </c>
      <c r="F16" s="130">
        <f t="shared" si="0"/>
        <v>5415082</v>
      </c>
      <c r="G16" s="25" t="s">
        <v>428</v>
      </c>
      <c r="H16" s="130">
        <f>H17</f>
        <v>5415082</v>
      </c>
    </row>
    <row r="17" spans="1:10" s="38" customFormat="1" ht="18.75" customHeight="1">
      <c r="A17" s="26">
        <v>144</v>
      </c>
      <c r="B17" s="31" t="s">
        <v>26</v>
      </c>
      <c r="C17" s="28"/>
      <c r="D17" s="29"/>
      <c r="E17" s="134">
        <v>0</v>
      </c>
      <c r="F17" s="134">
        <f t="shared" si="0"/>
        <v>5415082</v>
      </c>
      <c r="G17" s="30" t="s">
        <v>428</v>
      </c>
      <c r="H17" s="134">
        <v>5415082</v>
      </c>
      <c r="J17" s="88"/>
    </row>
    <row r="18" spans="1:10" s="37" customFormat="1" ht="21.95" customHeight="1">
      <c r="A18" s="21">
        <v>1500</v>
      </c>
      <c r="B18" s="22" t="s">
        <v>27</v>
      </c>
      <c r="C18" s="23"/>
      <c r="D18" s="24"/>
      <c r="E18" s="130">
        <f>E19</f>
        <v>0</v>
      </c>
      <c r="F18" s="130">
        <f t="shared" ref="F18:F19" si="2">H18-E18</f>
        <v>16245250.5</v>
      </c>
      <c r="G18" s="25" t="s">
        <v>428</v>
      </c>
      <c r="H18" s="130">
        <f>H19</f>
        <v>16245250.5</v>
      </c>
    </row>
    <row r="19" spans="1:10" s="38" customFormat="1" ht="18.75" customHeight="1">
      <c r="A19" s="33">
        <v>152</v>
      </c>
      <c r="B19" s="34" t="s">
        <v>29</v>
      </c>
      <c r="C19" s="28"/>
      <c r="D19" s="29"/>
      <c r="E19" s="134">
        <v>0</v>
      </c>
      <c r="F19" s="134">
        <f t="shared" si="2"/>
        <v>16245250.5</v>
      </c>
      <c r="G19" s="30" t="s">
        <v>428</v>
      </c>
      <c r="H19" s="134">
        <v>16245250.5</v>
      </c>
      <c r="J19" s="88"/>
    </row>
    <row r="20" spans="1:10" s="36" customFormat="1" ht="24.95" customHeight="1">
      <c r="A20" s="59">
        <v>2000</v>
      </c>
      <c r="B20" s="60" t="s">
        <v>42</v>
      </c>
      <c r="C20" s="61"/>
      <c r="D20" s="62"/>
      <c r="E20" s="133">
        <f>E21+E23</f>
        <v>0</v>
      </c>
      <c r="F20" s="133">
        <f t="shared" ref="F20:F24" si="3">H20-E20</f>
        <v>40300000</v>
      </c>
      <c r="G20" s="63" t="s">
        <v>428</v>
      </c>
      <c r="H20" s="133">
        <f>H21+H23</f>
        <v>40300000</v>
      </c>
      <c r="I20" s="104"/>
      <c r="J20" s="105"/>
    </row>
    <row r="21" spans="1:10" s="37" customFormat="1" ht="39.75" customHeight="1">
      <c r="A21" s="21">
        <v>2700</v>
      </c>
      <c r="B21" s="22" t="s">
        <v>87</v>
      </c>
      <c r="C21" s="23"/>
      <c r="D21" s="24"/>
      <c r="E21" s="130">
        <f>SUM(E22)</f>
        <v>0</v>
      </c>
      <c r="F21" s="130">
        <f t="shared" si="3"/>
        <v>16000000</v>
      </c>
      <c r="G21" s="25" t="s">
        <v>428</v>
      </c>
      <c r="H21" s="130">
        <f>SUM(H22)</f>
        <v>16000000</v>
      </c>
    </row>
    <row r="22" spans="1:10" s="38" customFormat="1" ht="18.75" customHeight="1">
      <c r="A22" s="73">
        <v>271</v>
      </c>
      <c r="B22" s="74" t="s">
        <v>88</v>
      </c>
      <c r="C22" s="28"/>
      <c r="D22" s="29"/>
      <c r="E22" s="134">
        <v>0</v>
      </c>
      <c r="F22" s="134">
        <f t="shared" si="3"/>
        <v>16000000</v>
      </c>
      <c r="G22" s="30" t="s">
        <v>428</v>
      </c>
      <c r="H22" s="134">
        <v>16000000</v>
      </c>
    </row>
    <row r="23" spans="1:10" s="37" customFormat="1" ht="21.95" customHeight="1">
      <c r="A23" s="21">
        <v>2800</v>
      </c>
      <c r="B23" s="22" t="s">
        <v>93</v>
      </c>
      <c r="C23" s="23"/>
      <c r="D23" s="24"/>
      <c r="E23" s="130">
        <f>SUM(E24)</f>
        <v>0</v>
      </c>
      <c r="F23" s="130">
        <f>H23-E23</f>
        <v>24300000</v>
      </c>
      <c r="G23" s="25" t="s">
        <v>428</v>
      </c>
      <c r="H23" s="130">
        <f>SUM(H24)</f>
        <v>24300000</v>
      </c>
    </row>
    <row r="24" spans="1:10" s="38" customFormat="1" ht="18.75" customHeight="1">
      <c r="A24" s="73">
        <v>283</v>
      </c>
      <c r="B24" s="74" t="s">
        <v>96</v>
      </c>
      <c r="C24" s="180"/>
      <c r="D24" s="181"/>
      <c r="E24" s="134">
        <v>0</v>
      </c>
      <c r="F24" s="134">
        <f t="shared" si="3"/>
        <v>24300000</v>
      </c>
      <c r="G24" s="30" t="s">
        <v>428</v>
      </c>
      <c r="H24" s="182">
        <v>24300000</v>
      </c>
    </row>
    <row r="25" spans="1:10" s="36" customFormat="1" ht="24.95" customHeight="1">
      <c r="A25" s="59">
        <v>3000</v>
      </c>
      <c r="B25" s="60" t="s">
        <v>107</v>
      </c>
      <c r="C25" s="61"/>
      <c r="D25" s="62"/>
      <c r="E25" s="133">
        <f>E26+E31</f>
        <v>19376266</v>
      </c>
      <c r="F25" s="133">
        <f t="shared" si="0"/>
        <v>21106201</v>
      </c>
      <c r="G25" s="63">
        <f t="shared" ref="G25:G27" si="4">H25/E25-1</f>
        <v>1.0892811339398416</v>
      </c>
      <c r="H25" s="133">
        <f>H26+H31</f>
        <v>40482467</v>
      </c>
      <c r="I25" s="104"/>
      <c r="J25" s="105"/>
    </row>
    <row r="26" spans="1:10" s="37" customFormat="1" ht="21.95" customHeight="1">
      <c r="A26" s="21">
        <v>3300</v>
      </c>
      <c r="B26" s="22" t="s">
        <v>128</v>
      </c>
      <c r="C26" s="23"/>
      <c r="D26" s="24"/>
      <c r="E26" s="130">
        <f>SUM(E27:E30)</f>
        <v>19376266</v>
      </c>
      <c r="F26" s="130">
        <f t="shared" si="0"/>
        <v>21046201</v>
      </c>
      <c r="G26" s="25">
        <f t="shared" si="4"/>
        <v>1.0861845620822916</v>
      </c>
      <c r="H26" s="130">
        <f>SUM(H27:H29)</f>
        <v>40422467</v>
      </c>
    </row>
    <row r="27" spans="1:10" s="38" customFormat="1" ht="18.75" customHeight="1">
      <c r="A27" s="26">
        <v>334</v>
      </c>
      <c r="B27" s="27" t="s">
        <v>132</v>
      </c>
      <c r="C27" s="28"/>
      <c r="D27" s="29"/>
      <c r="E27" s="134">
        <v>4600000</v>
      </c>
      <c r="F27" s="134">
        <f t="shared" si="0"/>
        <v>7596067.6600000001</v>
      </c>
      <c r="G27" s="30">
        <f t="shared" si="4"/>
        <v>1.6513190565217393</v>
      </c>
      <c r="H27" s="134">
        <v>12196067.66</v>
      </c>
    </row>
    <row r="28" spans="1:10" s="38" customFormat="1" ht="18.75" customHeight="1">
      <c r="A28" s="26">
        <v>336</v>
      </c>
      <c r="B28" s="27" t="s">
        <v>134</v>
      </c>
      <c r="C28" s="28"/>
      <c r="D28" s="29"/>
      <c r="E28" s="134">
        <v>0</v>
      </c>
      <c r="F28" s="134">
        <f t="shared" si="0"/>
        <v>0</v>
      </c>
      <c r="G28" s="30" t="s">
        <v>428</v>
      </c>
      <c r="H28" s="134">
        <v>0</v>
      </c>
    </row>
    <row r="29" spans="1:10" s="38" customFormat="1" ht="18.75" customHeight="1">
      <c r="A29" s="26">
        <v>337</v>
      </c>
      <c r="B29" s="27" t="s">
        <v>135</v>
      </c>
      <c r="C29" s="28"/>
      <c r="D29" s="29"/>
      <c r="E29" s="134">
        <v>14776266</v>
      </c>
      <c r="F29" s="134">
        <f t="shared" si="0"/>
        <v>13450133.34</v>
      </c>
      <c r="G29" s="30">
        <f>H29/E29-1</f>
        <v>0.91025251846440769</v>
      </c>
      <c r="H29" s="134">
        <f>32710268.34-4483869</f>
        <v>28226399.34</v>
      </c>
    </row>
    <row r="30" spans="1:10" s="38" customFormat="1" ht="18.75" hidden="1" customHeight="1">
      <c r="A30" s="26">
        <v>339</v>
      </c>
      <c r="B30" s="27" t="s">
        <v>137</v>
      </c>
      <c r="C30" s="28"/>
      <c r="D30" s="29"/>
      <c r="E30" s="134">
        <v>0</v>
      </c>
      <c r="F30" s="134">
        <f t="shared" si="0"/>
        <v>0</v>
      </c>
      <c r="G30" s="30"/>
      <c r="H30" s="134">
        <v>0</v>
      </c>
    </row>
    <row r="31" spans="1:10" s="37" customFormat="1" ht="21.95" customHeight="1">
      <c r="A31" s="21">
        <v>3700</v>
      </c>
      <c r="B31" s="22" t="s">
        <v>166</v>
      </c>
      <c r="C31" s="23"/>
      <c r="D31" s="24"/>
      <c r="E31" s="130">
        <f>SUM(E33:E33)</f>
        <v>0</v>
      </c>
      <c r="F31" s="130">
        <f t="shared" ref="F31" si="5">H31-E31</f>
        <v>60000</v>
      </c>
      <c r="G31" s="25" t="s">
        <v>428</v>
      </c>
      <c r="H31" s="130">
        <f>H32+H33</f>
        <v>60000</v>
      </c>
    </row>
    <row r="32" spans="1:10" s="38" customFormat="1" ht="18.75" customHeight="1">
      <c r="A32" s="26">
        <v>371</v>
      </c>
      <c r="B32" s="27" t="s">
        <v>167</v>
      </c>
      <c r="C32" s="180"/>
      <c r="D32" s="181"/>
      <c r="E32" s="134">
        <v>0</v>
      </c>
      <c r="F32" s="134">
        <f t="shared" si="0"/>
        <v>30000</v>
      </c>
      <c r="G32" s="183" t="s">
        <v>428</v>
      </c>
      <c r="H32" s="182">
        <v>30000</v>
      </c>
    </row>
    <row r="33" spans="1:8" s="38" customFormat="1" ht="18.75" customHeight="1">
      <c r="A33" s="26">
        <v>375</v>
      </c>
      <c r="B33" s="27" t="s">
        <v>171</v>
      </c>
      <c r="C33" s="180"/>
      <c r="D33" s="181"/>
      <c r="E33" s="134">
        <v>0</v>
      </c>
      <c r="F33" s="134">
        <f t="shared" si="0"/>
        <v>30000</v>
      </c>
      <c r="G33" s="183" t="s">
        <v>428</v>
      </c>
      <c r="H33" s="182">
        <v>30000</v>
      </c>
    </row>
    <row r="34" spans="1:8" s="36" customFormat="1" ht="24.95" customHeight="1">
      <c r="A34" s="59">
        <v>5000</v>
      </c>
      <c r="B34" s="60" t="s">
        <v>241</v>
      </c>
      <c r="C34" s="61"/>
      <c r="D34" s="62"/>
      <c r="E34" s="133">
        <f>E35+E38+E45+E47+E50</f>
        <v>14102896.93</v>
      </c>
      <c r="F34" s="133">
        <f t="shared" si="0"/>
        <v>-12427896.93</v>
      </c>
      <c r="G34" s="63">
        <f>H34/E34-1</f>
        <v>-0.88123007575579015</v>
      </c>
      <c r="H34" s="133">
        <f>H45+H52+H54+H56+H40+H42</f>
        <v>1675000</v>
      </c>
    </row>
    <row r="35" spans="1:8" s="37" customFormat="1" ht="21" hidden="1" customHeight="1">
      <c r="A35" s="21">
        <v>5100</v>
      </c>
      <c r="B35" s="22" t="s">
        <v>242</v>
      </c>
      <c r="C35" s="23"/>
      <c r="D35" s="24"/>
      <c r="E35" s="130">
        <f>SUM(E36)</f>
        <v>0</v>
      </c>
      <c r="F35" s="130">
        <f t="shared" si="0"/>
        <v>0</v>
      </c>
      <c r="G35" s="25" t="s">
        <v>428</v>
      </c>
      <c r="H35" s="130">
        <v>0</v>
      </c>
    </row>
    <row r="36" spans="1:8" s="38" customFormat="1" ht="18.75" hidden="1" customHeight="1">
      <c r="A36" s="26">
        <v>511</v>
      </c>
      <c r="B36" s="27" t="s">
        <v>243</v>
      </c>
      <c r="C36" s="28"/>
      <c r="D36" s="29"/>
      <c r="E36" s="134">
        <v>0</v>
      </c>
      <c r="F36" s="134">
        <f t="shared" si="0"/>
        <v>0</v>
      </c>
      <c r="G36" s="30" t="s">
        <v>428</v>
      </c>
      <c r="H36" s="134">
        <v>0</v>
      </c>
    </row>
    <row r="37" spans="1:8" s="38" customFormat="1" ht="18.75" hidden="1" customHeight="1">
      <c r="A37" s="26">
        <v>515</v>
      </c>
      <c r="B37" s="27" t="s">
        <v>247</v>
      </c>
      <c r="C37" s="28"/>
      <c r="D37" s="29"/>
      <c r="E37" s="134">
        <v>0</v>
      </c>
      <c r="F37" s="134">
        <f t="shared" si="0"/>
        <v>0</v>
      </c>
      <c r="G37" s="30" t="s">
        <v>428</v>
      </c>
      <c r="H37" s="134">
        <v>0</v>
      </c>
    </row>
    <row r="38" spans="1:8" s="37" customFormat="1" ht="21" hidden="1" customHeight="1">
      <c r="A38" s="21">
        <v>5200</v>
      </c>
      <c r="B38" s="22" t="s">
        <v>249</v>
      </c>
      <c r="C38" s="23"/>
      <c r="D38" s="24"/>
      <c r="E38" s="130">
        <f>SUM(E39)</f>
        <v>0</v>
      </c>
      <c r="F38" s="130">
        <f t="shared" si="0"/>
        <v>0</v>
      </c>
      <c r="G38" s="25" t="s">
        <v>428</v>
      </c>
      <c r="H38" s="130">
        <v>0</v>
      </c>
    </row>
    <row r="39" spans="1:8" s="38" customFormat="1" ht="18.75" hidden="1" customHeight="1">
      <c r="A39" s="26">
        <v>523</v>
      </c>
      <c r="B39" s="27" t="s">
        <v>252</v>
      </c>
      <c r="C39" s="28"/>
      <c r="D39" s="29"/>
      <c r="E39" s="134">
        <v>0</v>
      </c>
      <c r="F39" s="134">
        <f t="shared" si="0"/>
        <v>0</v>
      </c>
      <c r="G39" s="30" t="s">
        <v>428</v>
      </c>
      <c r="H39" s="134">
        <v>0</v>
      </c>
    </row>
    <row r="40" spans="1:8" s="37" customFormat="1" ht="21" customHeight="1">
      <c r="A40" s="21">
        <v>5100</v>
      </c>
      <c r="B40" s="22" t="s">
        <v>242</v>
      </c>
      <c r="C40" s="23"/>
      <c r="D40" s="24"/>
      <c r="E40" s="130">
        <f>SUM(E41)</f>
        <v>0</v>
      </c>
      <c r="F40" s="130">
        <f t="shared" si="0"/>
        <v>1560000</v>
      </c>
      <c r="G40" s="25" t="s">
        <v>428</v>
      </c>
      <c r="H40" s="130">
        <f>H41</f>
        <v>1560000</v>
      </c>
    </row>
    <row r="41" spans="1:8" s="38" customFormat="1" ht="18.75" customHeight="1">
      <c r="A41" s="26">
        <v>515</v>
      </c>
      <c r="B41" s="27" t="s">
        <v>247</v>
      </c>
      <c r="C41" s="28"/>
      <c r="D41" s="29"/>
      <c r="E41" s="134">
        <v>0</v>
      </c>
      <c r="F41" s="134">
        <f t="shared" si="0"/>
        <v>1560000</v>
      </c>
      <c r="G41" s="30" t="s">
        <v>428</v>
      </c>
      <c r="H41" s="134">
        <v>1560000</v>
      </c>
    </row>
    <row r="42" spans="1:8" s="37" customFormat="1" ht="21" customHeight="1">
      <c r="A42" s="21">
        <v>5200</v>
      </c>
      <c r="B42" s="22" t="s">
        <v>249</v>
      </c>
      <c r="C42" s="23"/>
      <c r="D42" s="24"/>
      <c r="E42" s="130">
        <f>SUM(E44)</f>
        <v>0</v>
      </c>
      <c r="F42" s="130">
        <f>SUM(F43:F44)</f>
        <v>80000</v>
      </c>
      <c r="G42" s="25" t="s">
        <v>428</v>
      </c>
      <c r="H42" s="130">
        <f>SUM(H43:H44)</f>
        <v>80000</v>
      </c>
    </row>
    <row r="43" spans="1:8" s="38" customFormat="1" ht="18.75" customHeight="1">
      <c r="A43" s="26">
        <v>521</v>
      </c>
      <c r="B43" s="27" t="s">
        <v>250</v>
      </c>
      <c r="C43" s="28"/>
      <c r="D43" s="29"/>
      <c r="E43" s="134"/>
      <c r="F43" s="134">
        <f t="shared" si="0"/>
        <v>0</v>
      </c>
      <c r="G43" s="30" t="s">
        <v>428</v>
      </c>
      <c r="H43" s="134">
        <v>0</v>
      </c>
    </row>
    <row r="44" spans="1:8" s="38" customFormat="1" ht="18.75" customHeight="1">
      <c r="A44" s="26">
        <v>523</v>
      </c>
      <c r="B44" s="27" t="s">
        <v>252</v>
      </c>
      <c r="C44" s="28"/>
      <c r="D44" s="29"/>
      <c r="E44" s="134">
        <v>0</v>
      </c>
      <c r="F44" s="134">
        <f t="shared" ref="F44" si="6">H44-E44</f>
        <v>80000</v>
      </c>
      <c r="G44" s="30" t="s">
        <v>428</v>
      </c>
      <c r="H44" s="134">
        <v>80000</v>
      </c>
    </row>
    <row r="45" spans="1:8" s="37" customFormat="1" ht="21" customHeight="1">
      <c r="A45" s="21">
        <v>5500</v>
      </c>
      <c r="B45" s="22" t="s">
        <v>265</v>
      </c>
      <c r="C45" s="23"/>
      <c r="D45" s="24"/>
      <c r="E45" s="130">
        <f>SUM(E46)</f>
        <v>14102896.93</v>
      </c>
      <c r="F45" s="130">
        <f t="shared" si="0"/>
        <v>-14102896.93</v>
      </c>
      <c r="G45" s="25">
        <f t="shared" ref="G45:G46" si="7">H45/E45-1</f>
        <v>-1</v>
      </c>
      <c r="H45" s="130">
        <f>H46</f>
        <v>0</v>
      </c>
    </row>
    <row r="46" spans="1:8" s="38" customFormat="1" ht="18.75" customHeight="1">
      <c r="A46" s="26">
        <v>551</v>
      </c>
      <c r="B46" s="27" t="s">
        <v>266</v>
      </c>
      <c r="C46" s="28"/>
      <c r="D46" s="29"/>
      <c r="E46" s="134">
        <v>14102896.93</v>
      </c>
      <c r="F46" s="134">
        <f t="shared" si="0"/>
        <v>-14102896.93</v>
      </c>
      <c r="G46" s="30">
        <f t="shared" si="7"/>
        <v>-1</v>
      </c>
      <c r="H46" s="134">
        <v>0</v>
      </c>
    </row>
    <row r="47" spans="1:8" s="37" customFormat="1" ht="21.95" hidden="1" customHeight="1">
      <c r="A47" s="21">
        <v>5600</v>
      </c>
      <c r="B47" s="22" t="s">
        <v>267</v>
      </c>
      <c r="C47" s="23"/>
      <c r="D47" s="24"/>
      <c r="E47" s="130">
        <f>SUM(E49)</f>
        <v>0</v>
      </c>
      <c r="F47" s="130">
        <f t="shared" si="0"/>
        <v>14102896.93</v>
      </c>
      <c r="G47" s="25" t="s">
        <v>428</v>
      </c>
      <c r="H47" s="130">
        <v>14102896.93</v>
      </c>
    </row>
    <row r="48" spans="1:8" s="38" customFormat="1" ht="18.75" hidden="1" customHeight="1">
      <c r="A48" s="26">
        <v>564</v>
      </c>
      <c r="B48" s="31" t="s">
        <v>271</v>
      </c>
      <c r="C48" s="28"/>
      <c r="D48" s="29"/>
      <c r="E48" s="134">
        <v>0</v>
      </c>
      <c r="F48" s="134">
        <f t="shared" si="0"/>
        <v>14102896.93</v>
      </c>
      <c r="G48" s="30" t="s">
        <v>428</v>
      </c>
      <c r="H48" s="134">
        <v>14102896.93</v>
      </c>
    </row>
    <row r="49" spans="1:8" s="38" customFormat="1" ht="18.75" hidden="1" customHeight="1">
      <c r="A49" s="26">
        <v>566</v>
      </c>
      <c r="B49" s="31" t="s">
        <v>273</v>
      </c>
      <c r="C49" s="28"/>
      <c r="D49" s="29"/>
      <c r="E49" s="134">
        <v>0</v>
      </c>
      <c r="F49" s="134">
        <f t="shared" si="0"/>
        <v>0</v>
      </c>
      <c r="G49" s="30" t="s">
        <v>428</v>
      </c>
      <c r="H49" s="134">
        <v>0</v>
      </c>
    </row>
    <row r="50" spans="1:8" s="37" customFormat="1" ht="21.95" hidden="1" customHeight="1">
      <c r="A50" s="21">
        <v>5900</v>
      </c>
      <c r="B50" s="22" t="s">
        <v>291</v>
      </c>
      <c r="C50" s="23"/>
      <c r="D50" s="24"/>
      <c r="E50" s="130">
        <f>SUM(E51)</f>
        <v>0</v>
      </c>
      <c r="F50" s="130">
        <f t="shared" si="0"/>
        <v>0</v>
      </c>
      <c r="G50" s="25" t="s">
        <v>428</v>
      </c>
      <c r="H50" s="130">
        <v>0</v>
      </c>
    </row>
    <row r="51" spans="1:8" s="38" customFormat="1" ht="18.75" hidden="1" customHeight="1">
      <c r="A51" s="26">
        <v>591</v>
      </c>
      <c r="B51" s="27" t="s">
        <v>292</v>
      </c>
      <c r="C51" s="28"/>
      <c r="D51" s="29"/>
      <c r="E51" s="134">
        <v>0</v>
      </c>
      <c r="F51" s="134">
        <f t="shared" si="0"/>
        <v>0</v>
      </c>
      <c r="G51" s="30" t="s">
        <v>428</v>
      </c>
      <c r="H51" s="134">
        <v>0</v>
      </c>
    </row>
    <row r="52" spans="1:8" s="37" customFormat="1" ht="21" customHeight="1">
      <c r="A52" s="21">
        <v>5600</v>
      </c>
      <c r="B52" s="22" t="s">
        <v>267</v>
      </c>
      <c r="C52" s="23"/>
      <c r="D52" s="24"/>
      <c r="E52" s="130">
        <f>SUM(E53)</f>
        <v>0</v>
      </c>
      <c r="F52" s="130">
        <f t="shared" ref="F52:F53" si="8">H52-E52</f>
        <v>0</v>
      </c>
      <c r="G52" s="25" t="s">
        <v>428</v>
      </c>
      <c r="H52" s="130">
        <f>H53</f>
        <v>0</v>
      </c>
    </row>
    <row r="53" spans="1:8" s="38" customFormat="1" ht="18.75" customHeight="1">
      <c r="A53" s="26">
        <v>564</v>
      </c>
      <c r="B53" s="31" t="s">
        <v>271</v>
      </c>
      <c r="C53" s="28"/>
      <c r="D53" s="29"/>
      <c r="E53" s="134">
        <v>0</v>
      </c>
      <c r="F53" s="134">
        <f t="shared" si="8"/>
        <v>0</v>
      </c>
      <c r="G53" s="30" t="s">
        <v>428</v>
      </c>
      <c r="H53" s="134">
        <v>0</v>
      </c>
    </row>
    <row r="54" spans="1:8" s="37" customFormat="1" ht="21" customHeight="1">
      <c r="A54" s="21">
        <v>5600</v>
      </c>
      <c r="B54" s="22" t="s">
        <v>267</v>
      </c>
      <c r="C54" s="23"/>
      <c r="D54" s="24"/>
      <c r="E54" s="130">
        <f>SUM(E55)</f>
        <v>0</v>
      </c>
      <c r="F54" s="130">
        <f t="shared" ref="F54:F55" si="9">H54-E54</f>
        <v>10000</v>
      </c>
      <c r="G54" s="25" t="s">
        <v>428</v>
      </c>
      <c r="H54" s="130">
        <f>H55</f>
        <v>10000</v>
      </c>
    </row>
    <row r="55" spans="1:8" s="38" customFormat="1" ht="18.75" customHeight="1">
      <c r="A55" s="26">
        <v>566</v>
      </c>
      <c r="B55" s="31" t="s">
        <v>273</v>
      </c>
      <c r="C55" s="28"/>
      <c r="D55" s="29"/>
      <c r="E55" s="134">
        <v>0</v>
      </c>
      <c r="F55" s="134">
        <f t="shared" si="9"/>
        <v>10000</v>
      </c>
      <c r="G55" s="30" t="s">
        <v>428</v>
      </c>
      <c r="H55" s="134">
        <v>10000</v>
      </c>
    </row>
    <row r="56" spans="1:8" s="37" customFormat="1" ht="21" customHeight="1">
      <c r="A56" s="21">
        <v>5900</v>
      </c>
      <c r="B56" s="22" t="s">
        <v>291</v>
      </c>
      <c r="C56" s="23"/>
      <c r="D56" s="24"/>
      <c r="E56" s="130">
        <f>SUM(E57)</f>
        <v>0</v>
      </c>
      <c r="F56" s="130">
        <f t="shared" ref="F56:F57" si="10">H56-E56</f>
        <v>25000</v>
      </c>
      <c r="G56" s="25" t="s">
        <v>428</v>
      </c>
      <c r="H56" s="130">
        <f>H57</f>
        <v>25000</v>
      </c>
    </row>
    <row r="57" spans="1:8" s="38" customFormat="1" ht="18.75" customHeight="1">
      <c r="A57" s="26">
        <v>591</v>
      </c>
      <c r="B57" s="27" t="s">
        <v>292</v>
      </c>
      <c r="C57" s="28"/>
      <c r="D57" s="29"/>
      <c r="E57" s="134">
        <v>0</v>
      </c>
      <c r="F57" s="134">
        <f t="shared" si="10"/>
        <v>25000</v>
      </c>
      <c r="G57" s="30" t="s">
        <v>428</v>
      </c>
      <c r="H57" s="134">
        <v>25000</v>
      </c>
    </row>
    <row r="58" spans="1:8" s="36" customFormat="1" ht="24.95" customHeight="1">
      <c r="A58" s="59">
        <v>6000</v>
      </c>
      <c r="B58" s="60" t="s">
        <v>301</v>
      </c>
      <c r="C58" s="61"/>
      <c r="D58" s="62"/>
      <c r="E58" s="133">
        <f>E59</f>
        <v>61423303</v>
      </c>
      <c r="F58" s="133">
        <f t="shared" si="0"/>
        <v>-51759556</v>
      </c>
      <c r="G58" s="63">
        <f>H58/E58-1</f>
        <v>-0.84266969492018362</v>
      </c>
      <c r="H58" s="133">
        <f>H59</f>
        <v>9663747</v>
      </c>
    </row>
    <row r="59" spans="1:8" s="37" customFormat="1" ht="33" customHeight="1">
      <c r="A59" s="21">
        <v>6200</v>
      </c>
      <c r="B59" s="22" t="s">
        <v>311</v>
      </c>
      <c r="C59" s="23"/>
      <c r="D59" s="24"/>
      <c r="E59" s="130">
        <f>SUM(E60)</f>
        <v>61423303</v>
      </c>
      <c r="F59" s="130">
        <f t="shared" si="0"/>
        <v>-51759556</v>
      </c>
      <c r="G59" s="25">
        <f t="shared" ref="G59:G63" si="11">H59/E59-1</f>
        <v>-0.84266969492018362</v>
      </c>
      <c r="H59" s="130">
        <f>H60</f>
        <v>9663747</v>
      </c>
    </row>
    <row r="60" spans="1:8" s="38" customFormat="1" ht="18.75" customHeight="1">
      <c r="A60" s="26">
        <v>622</v>
      </c>
      <c r="B60" s="27" t="s">
        <v>312</v>
      </c>
      <c r="C60" s="28"/>
      <c r="D60" s="29"/>
      <c r="E60" s="134">
        <v>61423303</v>
      </c>
      <c r="F60" s="134">
        <f t="shared" si="0"/>
        <v>-51759556</v>
      </c>
      <c r="G60" s="30">
        <f t="shared" si="11"/>
        <v>-0.84266969492018362</v>
      </c>
      <c r="H60" s="134">
        <v>9663747</v>
      </c>
    </row>
    <row r="61" spans="1:8" s="36" customFormat="1" ht="24.95" customHeight="1">
      <c r="A61" s="59">
        <v>9000</v>
      </c>
      <c r="B61" s="60" t="s">
        <v>366</v>
      </c>
      <c r="C61" s="61"/>
      <c r="D61" s="62"/>
      <c r="E61" s="133">
        <f>E62</f>
        <v>500000</v>
      </c>
      <c r="F61" s="133">
        <f t="shared" si="0"/>
        <v>-370000</v>
      </c>
      <c r="G61" s="63">
        <f t="shared" si="11"/>
        <v>-0.74</v>
      </c>
      <c r="H61" s="133">
        <f>H62</f>
        <v>130000</v>
      </c>
    </row>
    <row r="62" spans="1:8" s="37" customFormat="1" ht="21" customHeight="1">
      <c r="A62" s="21">
        <v>9900</v>
      </c>
      <c r="B62" s="22" t="s">
        <v>397</v>
      </c>
      <c r="C62" s="23"/>
      <c r="D62" s="24"/>
      <c r="E62" s="130">
        <f>E63</f>
        <v>500000</v>
      </c>
      <c r="F62" s="130">
        <f t="shared" si="0"/>
        <v>-370000</v>
      </c>
      <c r="G62" s="25">
        <f>H62/E62-1</f>
        <v>-0.74</v>
      </c>
      <c r="H62" s="130">
        <f>H63</f>
        <v>130000</v>
      </c>
    </row>
    <row r="63" spans="1:8" s="38" customFormat="1" ht="18.75" customHeight="1">
      <c r="A63" s="26">
        <v>991</v>
      </c>
      <c r="B63" s="27" t="s">
        <v>398</v>
      </c>
      <c r="C63" s="28"/>
      <c r="D63" s="29"/>
      <c r="E63" s="134">
        <v>500000</v>
      </c>
      <c r="F63" s="134">
        <f t="shared" si="0"/>
        <v>-370000</v>
      </c>
      <c r="G63" s="30">
        <f t="shared" si="11"/>
        <v>-0.74</v>
      </c>
      <c r="H63" s="134">
        <v>130000</v>
      </c>
    </row>
    <row r="64" spans="1:8">
      <c r="H64" s="136"/>
    </row>
    <row r="65" spans="6:8">
      <c r="F65" s="222" t="s">
        <v>430</v>
      </c>
      <c r="G65" s="222"/>
      <c r="H65" s="223">
        <v>41515911</v>
      </c>
    </row>
    <row r="66" spans="6:8">
      <c r="F66" s="222">
        <v>2013</v>
      </c>
      <c r="G66" s="224"/>
      <c r="H66" s="223">
        <v>108601668.5</v>
      </c>
    </row>
    <row r="67" spans="6:8">
      <c r="F67" s="222"/>
      <c r="G67" s="224"/>
      <c r="H67" s="223">
        <f>SUM(H65:H66)</f>
        <v>150117579.5</v>
      </c>
    </row>
    <row r="68" spans="6:8">
      <c r="F68" s="103"/>
      <c r="G68" s="100"/>
    </row>
    <row r="69" spans="6:8">
      <c r="G69" s="100"/>
    </row>
    <row r="71" spans="6:8">
      <c r="G71" s="102"/>
    </row>
    <row r="72" spans="6:8">
      <c r="G72" s="102"/>
    </row>
  </sheetData>
  <sheetProtection selectLockedCells="1" selectUnlockedCells="1"/>
  <mergeCells count="7">
    <mergeCell ref="I3:J5"/>
    <mergeCell ref="H1:H2"/>
    <mergeCell ref="A1:A2"/>
    <mergeCell ref="B1:B2"/>
    <mergeCell ref="C1:D2"/>
    <mergeCell ref="E1:E2"/>
    <mergeCell ref="F1:G1"/>
  </mergeCells>
  <phoneticPr fontId="5" type="noConversion"/>
  <dataValidations count="1">
    <dataValidation type="whole" errorStyle="warning" operator="greaterThan" allowBlank="1" showInputMessage="1" showErrorMessage="1" errorTitle="IMPORTANTE" error="Se recomienda leer las instrucciones antes de inciar con el llenado del presupuesto por objeto del gasto" sqref="B1:C1 E1:F1 H1">
      <formula1>0</formula1>
    </dataValidation>
  </dataValidations>
  <printOptions horizontalCentered="1"/>
  <pageMargins left="0" right="0" top="0.39370078740157483" bottom="0" header="0" footer="0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I42"/>
  <sheetViews>
    <sheetView showGridLines="0" zoomScaleSheetLayoutView="80" workbookViewId="0">
      <selection activeCell="F14" sqref="F14"/>
    </sheetView>
  </sheetViews>
  <sheetFormatPr baseColWidth="10" defaultRowHeight="18.75" customHeight="1"/>
  <cols>
    <col min="1" max="1" width="11.42578125" style="39" customWidth="1"/>
    <col min="2" max="2" width="86.7109375" style="40" customWidth="1"/>
    <col min="3" max="3" width="18.7109375" style="41" customWidth="1"/>
    <col min="4" max="4" width="15.7109375" style="41" customWidth="1"/>
    <col min="5" max="5" width="7.85546875" style="42" bestFit="1" customWidth="1"/>
    <col min="6" max="6" width="18.7109375" style="41" customWidth="1"/>
    <col min="7" max="7" width="13.28515625" style="98" bestFit="1" customWidth="1"/>
    <col min="8" max="8" width="12.28515625" style="98" bestFit="1" customWidth="1"/>
    <col min="9" max="16384" width="11.42578125" style="43"/>
  </cols>
  <sheetData>
    <row r="1" spans="1:9" s="64" customFormat="1" ht="18.75" customHeight="1" thickBot="1">
      <c r="A1" s="242" t="s">
        <v>0</v>
      </c>
      <c r="B1" s="244" t="s">
        <v>1</v>
      </c>
      <c r="C1" s="240" t="str">
        <f>'Resumen Presupuestal'!F1:F2</f>
        <v>Presupuesto Autorizado 2013</v>
      </c>
      <c r="D1" s="236" t="s">
        <v>427</v>
      </c>
      <c r="E1" s="236"/>
      <c r="F1" s="240" t="str">
        <f>'Resumen Presupuestal'!I1:I2</f>
        <v xml:space="preserve"> 1ra. Modificación Presupuestal</v>
      </c>
      <c r="G1" s="97"/>
      <c r="H1" s="97"/>
    </row>
    <row r="2" spans="1:9" s="64" customFormat="1" ht="18.75" customHeight="1" thickBot="1">
      <c r="A2" s="243"/>
      <c r="B2" s="245"/>
      <c r="C2" s="241"/>
      <c r="D2" s="65" t="str">
        <f>'Resumen Presupuestal'!G2</f>
        <v>Importe</v>
      </c>
      <c r="E2" s="65" t="s">
        <v>421</v>
      </c>
      <c r="F2" s="241"/>
      <c r="G2" s="97"/>
      <c r="H2" s="97"/>
    </row>
    <row r="3" spans="1:9" s="36" customFormat="1" ht="24.95" customHeight="1">
      <c r="A3" s="59">
        <v>1000</v>
      </c>
      <c r="B3" s="60" t="s">
        <v>2</v>
      </c>
      <c r="C3" s="129">
        <f>C4+C9+C14+C23+C28+C37+C40</f>
        <v>1400975580</v>
      </c>
      <c r="D3" s="158">
        <f>F3-C3</f>
        <v>87362200</v>
      </c>
      <c r="E3" s="63">
        <f>F3/C3-1</f>
        <v>6.2358117619723208E-2</v>
      </c>
      <c r="F3" s="129">
        <f>F4+F9+F14+F23+F28+F37+F40</f>
        <v>1488337780</v>
      </c>
      <c r="G3" s="95"/>
      <c r="H3" s="95"/>
    </row>
    <row r="4" spans="1:9" s="37" customFormat="1" ht="21.95" customHeight="1">
      <c r="A4" s="21">
        <v>1100</v>
      </c>
      <c r="B4" s="22" t="s">
        <v>3</v>
      </c>
      <c r="C4" s="99">
        <f>C5+C7</f>
        <v>659935948</v>
      </c>
      <c r="D4" s="130">
        <f t="shared" ref="D4:D39" si="0">F4-C4</f>
        <v>26340600</v>
      </c>
      <c r="E4" s="25">
        <f>F4/C4-1</f>
        <v>3.9913873580955439E-2</v>
      </c>
      <c r="F4" s="99">
        <f>F5+F7</f>
        <v>686276548</v>
      </c>
      <c r="G4" s="95"/>
      <c r="H4" s="95"/>
    </row>
    <row r="5" spans="1:9" s="38" customFormat="1" ht="18.75" customHeight="1">
      <c r="A5" s="26">
        <v>111</v>
      </c>
      <c r="B5" s="27" t="s">
        <v>4</v>
      </c>
      <c r="C5" s="164">
        <v>25081373</v>
      </c>
      <c r="D5" s="135">
        <f t="shared" si="0"/>
        <v>0</v>
      </c>
      <c r="E5" s="30">
        <f>F5/C5-1</f>
        <v>0</v>
      </c>
      <c r="F5" s="164">
        <v>25081373</v>
      </c>
      <c r="H5" s="196"/>
      <c r="I5" s="196"/>
    </row>
    <row r="6" spans="1:9" s="38" customFormat="1" ht="18.75" hidden="1" customHeight="1">
      <c r="A6" s="26">
        <v>112</v>
      </c>
      <c r="B6" s="31" t="s">
        <v>5</v>
      </c>
      <c r="C6" s="164">
        <v>0</v>
      </c>
      <c r="D6" s="135">
        <f t="shared" si="0"/>
        <v>0</v>
      </c>
      <c r="E6" s="30"/>
      <c r="F6" s="164">
        <v>0</v>
      </c>
      <c r="G6" s="195"/>
      <c r="H6" s="196"/>
      <c r="I6" s="196"/>
    </row>
    <row r="7" spans="1:9" s="90" customFormat="1" ht="27" customHeight="1">
      <c r="A7" s="33">
        <v>113</v>
      </c>
      <c r="B7" s="34" t="s">
        <v>6</v>
      </c>
      <c r="C7" s="165">
        <v>634854575</v>
      </c>
      <c r="D7" s="135">
        <f t="shared" si="0"/>
        <v>26340600</v>
      </c>
      <c r="E7" s="35">
        <f>F7/C7-1</f>
        <v>4.1490761880388138E-2</v>
      </c>
      <c r="F7" s="165">
        <f>C7+26340600</f>
        <v>661195175</v>
      </c>
      <c r="G7" s="237"/>
      <c r="H7" s="238"/>
      <c r="I7" s="238"/>
    </row>
    <row r="8" spans="1:9" s="38" customFormat="1" ht="18.75" hidden="1" customHeight="1">
      <c r="A8" s="26">
        <v>114</v>
      </c>
      <c r="B8" s="31" t="s">
        <v>7</v>
      </c>
      <c r="C8" s="131">
        <v>0</v>
      </c>
      <c r="D8" s="134">
        <f t="shared" si="0"/>
        <v>0</v>
      </c>
      <c r="E8" s="30"/>
      <c r="F8" s="164">
        <v>0</v>
      </c>
      <c r="G8" s="88"/>
      <c r="H8" s="88"/>
    </row>
    <row r="9" spans="1:9" s="37" customFormat="1" ht="21.95" customHeight="1">
      <c r="A9" s="21">
        <v>1200</v>
      </c>
      <c r="B9" s="22" t="s">
        <v>8</v>
      </c>
      <c r="C9" s="99">
        <f>C11</f>
        <v>85414555</v>
      </c>
      <c r="D9" s="130">
        <f t="shared" si="0"/>
        <v>24585445</v>
      </c>
      <c r="E9" s="25">
        <f>F9/C9-1</f>
        <v>0.28783671588524928</v>
      </c>
      <c r="F9" s="99">
        <f>F11</f>
        <v>110000000</v>
      </c>
      <c r="G9" s="88"/>
      <c r="H9" s="88"/>
    </row>
    <row r="10" spans="1:9" s="38" customFormat="1" ht="18.75" hidden="1" customHeight="1">
      <c r="A10" s="26">
        <v>121</v>
      </c>
      <c r="B10" s="31" t="s">
        <v>9</v>
      </c>
      <c r="C10" s="134">
        <v>0</v>
      </c>
      <c r="D10" s="134">
        <f t="shared" si="0"/>
        <v>0</v>
      </c>
      <c r="E10" s="30"/>
      <c r="F10" s="164">
        <v>0</v>
      </c>
      <c r="G10" s="88"/>
      <c r="H10" s="88"/>
    </row>
    <row r="11" spans="1:9" s="38" customFormat="1" ht="25.5" customHeight="1">
      <c r="A11" s="26">
        <v>122</v>
      </c>
      <c r="B11" s="31" t="s">
        <v>10</v>
      </c>
      <c r="C11" s="164">
        <v>85414555</v>
      </c>
      <c r="D11" s="135">
        <f t="shared" si="0"/>
        <v>24585445</v>
      </c>
      <c r="E11" s="30">
        <f>F11/C11-1</f>
        <v>0.28783671588524928</v>
      </c>
      <c r="F11" s="164">
        <f>85414555+6000000+18585445</f>
        <v>110000000</v>
      </c>
      <c r="G11" s="237"/>
      <c r="H11" s="238"/>
      <c r="I11" s="238"/>
    </row>
    <row r="12" spans="1:9" s="38" customFormat="1" ht="18.75" hidden="1" customHeight="1">
      <c r="A12" s="26">
        <v>123</v>
      </c>
      <c r="B12" s="31" t="s">
        <v>11</v>
      </c>
      <c r="C12" s="134">
        <v>0</v>
      </c>
      <c r="D12" s="134">
        <f t="shared" si="0"/>
        <v>0</v>
      </c>
      <c r="E12" s="30"/>
      <c r="F12" s="164">
        <v>0</v>
      </c>
      <c r="G12" s="88"/>
      <c r="H12" s="88"/>
    </row>
    <row r="13" spans="1:9" s="38" customFormat="1" ht="18.75" hidden="1" customHeight="1">
      <c r="A13" s="26">
        <v>124</v>
      </c>
      <c r="B13" s="31" t="s">
        <v>12</v>
      </c>
      <c r="C13" s="134">
        <v>0</v>
      </c>
      <c r="D13" s="134">
        <f t="shared" si="0"/>
        <v>0</v>
      </c>
      <c r="E13" s="30"/>
      <c r="F13" s="164">
        <v>0</v>
      </c>
      <c r="G13" s="88"/>
      <c r="H13" s="88"/>
    </row>
    <row r="14" spans="1:9" s="37" customFormat="1" ht="21.95" customHeight="1">
      <c r="A14" s="21">
        <v>1300</v>
      </c>
      <c r="B14" s="22" t="s">
        <v>13</v>
      </c>
      <c r="C14" s="99">
        <f>C16+C17+C21</f>
        <v>134238389</v>
      </c>
      <c r="D14" s="130">
        <f t="shared" si="0"/>
        <v>5902448</v>
      </c>
      <c r="E14" s="25">
        <f>F14/C14-1</f>
        <v>4.3969895973647199E-2</v>
      </c>
      <c r="F14" s="99">
        <f>F16+F17+F21</f>
        <v>140140837</v>
      </c>
      <c r="G14" s="88"/>
      <c r="H14" s="88"/>
    </row>
    <row r="15" spans="1:9" s="38" customFormat="1" ht="18.75" hidden="1" customHeight="1">
      <c r="A15" s="26">
        <v>131</v>
      </c>
      <c r="B15" s="31" t="s">
        <v>14</v>
      </c>
      <c r="C15" s="131">
        <v>0</v>
      </c>
      <c r="D15" s="134">
        <f t="shared" si="0"/>
        <v>0</v>
      </c>
      <c r="E15" s="30"/>
      <c r="F15" s="164">
        <v>0</v>
      </c>
      <c r="G15" s="88"/>
      <c r="H15" s="88"/>
    </row>
    <row r="16" spans="1:9" s="38" customFormat="1" ht="36.75" customHeight="1">
      <c r="A16" s="26">
        <v>132</v>
      </c>
      <c r="B16" s="31" t="s">
        <v>15</v>
      </c>
      <c r="C16" s="164">
        <v>114338389</v>
      </c>
      <c r="D16" s="135">
        <f t="shared" si="0"/>
        <v>4024258</v>
      </c>
      <c r="E16" s="30">
        <f>F16/C16-1</f>
        <v>3.519603551524586E-2</v>
      </c>
      <c r="F16" s="164">
        <f>C16+4024258</f>
        <v>118362647</v>
      </c>
      <c r="G16" s="237"/>
      <c r="H16" s="239"/>
      <c r="I16" s="239"/>
    </row>
    <row r="17" spans="1:9" s="38" customFormat="1" ht="18.75" customHeight="1">
      <c r="A17" s="26">
        <v>133</v>
      </c>
      <c r="B17" s="31" t="s">
        <v>16</v>
      </c>
      <c r="C17" s="164">
        <v>15900000</v>
      </c>
      <c r="D17" s="135">
        <f t="shared" si="0"/>
        <v>1878190</v>
      </c>
      <c r="E17" s="30">
        <f>F17/C17-1</f>
        <v>0.11812515723270445</v>
      </c>
      <c r="F17" s="164">
        <f>C17+1878190</f>
        <v>17778190</v>
      </c>
      <c r="G17" s="187"/>
      <c r="H17" s="88"/>
    </row>
    <row r="18" spans="1:9" s="38" customFormat="1" ht="18.75" hidden="1" customHeight="1">
      <c r="A18" s="26">
        <v>134</v>
      </c>
      <c r="B18" s="31" t="s">
        <v>17</v>
      </c>
      <c r="C18" s="164">
        <v>0</v>
      </c>
      <c r="D18" s="135">
        <f t="shared" si="0"/>
        <v>0</v>
      </c>
      <c r="E18" s="30"/>
      <c r="F18" s="164">
        <v>0</v>
      </c>
      <c r="G18" s="88"/>
      <c r="H18" s="88"/>
    </row>
    <row r="19" spans="1:9" s="38" customFormat="1" ht="18.75" hidden="1" customHeight="1">
      <c r="A19" s="26">
        <v>135</v>
      </c>
      <c r="B19" s="31" t="s">
        <v>18</v>
      </c>
      <c r="C19" s="164">
        <v>0</v>
      </c>
      <c r="D19" s="135">
        <f t="shared" si="0"/>
        <v>0</v>
      </c>
      <c r="E19" s="30"/>
      <c r="F19" s="164">
        <v>0</v>
      </c>
      <c r="G19" s="88"/>
      <c r="H19" s="88"/>
    </row>
    <row r="20" spans="1:9" s="38" customFormat="1" ht="18.75" hidden="1" customHeight="1">
      <c r="A20" s="26">
        <v>136</v>
      </c>
      <c r="B20" s="31" t="s">
        <v>19</v>
      </c>
      <c r="C20" s="164">
        <v>0</v>
      </c>
      <c r="D20" s="135">
        <f t="shared" si="0"/>
        <v>0</v>
      </c>
      <c r="E20" s="30"/>
      <c r="F20" s="164">
        <v>0</v>
      </c>
      <c r="G20" s="88"/>
      <c r="H20" s="88"/>
    </row>
    <row r="21" spans="1:9" s="38" customFormat="1" ht="18.75" customHeight="1">
      <c r="A21" s="26">
        <v>137</v>
      </c>
      <c r="B21" s="31" t="s">
        <v>20</v>
      </c>
      <c r="C21" s="164">
        <v>4000000</v>
      </c>
      <c r="D21" s="135">
        <f t="shared" si="0"/>
        <v>0</v>
      </c>
      <c r="E21" s="30">
        <f>F21/C21-1</f>
        <v>0</v>
      </c>
      <c r="F21" s="164">
        <f>C21</f>
        <v>4000000</v>
      </c>
      <c r="G21" s="187"/>
      <c r="H21" s="88"/>
    </row>
    <row r="22" spans="1:9" s="38" customFormat="1" ht="18.75" hidden="1" customHeight="1">
      <c r="A22" s="26">
        <v>138</v>
      </c>
      <c r="B22" s="31" t="s">
        <v>21</v>
      </c>
      <c r="C22" s="131">
        <v>0</v>
      </c>
      <c r="D22" s="134">
        <f t="shared" si="0"/>
        <v>0</v>
      </c>
      <c r="E22" s="30"/>
      <c r="F22" s="164">
        <v>0</v>
      </c>
      <c r="G22" s="88"/>
      <c r="H22" s="88"/>
    </row>
    <row r="23" spans="1:9" s="37" customFormat="1" ht="21.95" customHeight="1">
      <c r="A23" s="21">
        <v>1400</v>
      </c>
      <c r="B23" s="22" t="s">
        <v>22</v>
      </c>
      <c r="C23" s="99">
        <f>C24+C25+C26+C27</f>
        <v>256307850</v>
      </c>
      <c r="D23" s="130">
        <f t="shared" si="0"/>
        <v>5268120</v>
      </c>
      <c r="E23" s="25">
        <f t="shared" ref="E23:E28" si="1">F23/C23-1</f>
        <v>2.0553876910129665E-2</v>
      </c>
      <c r="F23" s="99">
        <f>F24+F25+F26+F27</f>
        <v>261575970</v>
      </c>
      <c r="G23" s="88"/>
      <c r="H23" s="88"/>
    </row>
    <row r="24" spans="1:9" s="38" customFormat="1" ht="18.75" customHeight="1">
      <c r="A24" s="26">
        <v>141</v>
      </c>
      <c r="B24" s="31" t="s">
        <v>23</v>
      </c>
      <c r="C24" s="164">
        <v>64972025</v>
      </c>
      <c r="D24" s="135">
        <f t="shared" si="0"/>
        <v>1712139</v>
      </c>
      <c r="E24" s="30">
        <f t="shared" si="1"/>
        <v>2.6351941470194262E-2</v>
      </c>
      <c r="F24" s="164">
        <v>66684164</v>
      </c>
      <c r="G24" s="187"/>
      <c r="H24" s="88"/>
    </row>
    <row r="25" spans="1:9" s="38" customFormat="1" ht="36.75" customHeight="1">
      <c r="A25" s="26">
        <v>142</v>
      </c>
      <c r="B25" s="31" t="s">
        <v>24</v>
      </c>
      <c r="C25" s="164">
        <v>32741294</v>
      </c>
      <c r="D25" s="135">
        <f t="shared" si="0"/>
        <v>790218</v>
      </c>
      <c r="E25" s="30">
        <f t="shared" si="1"/>
        <v>2.4135209805696833E-2</v>
      </c>
      <c r="F25" s="164">
        <f>C25+790218</f>
        <v>33531512</v>
      </c>
      <c r="G25" s="237"/>
      <c r="H25" s="239"/>
      <c r="I25" s="239"/>
    </row>
    <row r="26" spans="1:9" s="38" customFormat="1" ht="39" customHeight="1">
      <c r="A26" s="26">
        <v>143</v>
      </c>
      <c r="B26" s="31" t="s">
        <v>25</v>
      </c>
      <c r="C26" s="164">
        <v>114594531</v>
      </c>
      <c r="D26" s="135">
        <f t="shared" si="0"/>
        <v>2765763</v>
      </c>
      <c r="E26" s="30">
        <f t="shared" si="1"/>
        <v>2.4135209384468892E-2</v>
      </c>
      <c r="F26" s="164">
        <f>C26+2765763</f>
        <v>117360294</v>
      </c>
      <c r="G26" s="237"/>
      <c r="H26" s="239"/>
      <c r="I26" s="239"/>
    </row>
    <row r="27" spans="1:9" s="38" customFormat="1" ht="18.75" customHeight="1">
      <c r="A27" s="26">
        <v>144</v>
      </c>
      <c r="B27" s="31" t="s">
        <v>26</v>
      </c>
      <c r="C27" s="164">
        <v>44000000</v>
      </c>
      <c r="D27" s="135">
        <f t="shared" si="0"/>
        <v>0</v>
      </c>
      <c r="E27" s="30">
        <f t="shared" si="1"/>
        <v>0</v>
      </c>
      <c r="F27" s="164">
        <v>44000000</v>
      </c>
      <c r="G27" s="88"/>
      <c r="H27" s="88"/>
    </row>
    <row r="28" spans="1:9" s="37" customFormat="1" ht="21.95" customHeight="1">
      <c r="A28" s="21">
        <v>1500</v>
      </c>
      <c r="B28" s="22" t="s">
        <v>27</v>
      </c>
      <c r="C28" s="99">
        <f>C30+C31+C32+C33</f>
        <v>245640852</v>
      </c>
      <c r="D28" s="130">
        <f t="shared" si="0"/>
        <v>24507173</v>
      </c>
      <c r="E28" s="25">
        <f t="shared" si="1"/>
        <v>9.9768311339353266E-2</v>
      </c>
      <c r="F28" s="99">
        <f>F30+F31+F32+F33</f>
        <v>270148025</v>
      </c>
      <c r="G28" s="88"/>
      <c r="H28" s="88"/>
    </row>
    <row r="29" spans="1:9" s="38" customFormat="1" ht="18.75" hidden="1" customHeight="1">
      <c r="A29" s="26">
        <v>151</v>
      </c>
      <c r="B29" s="31" t="s">
        <v>28</v>
      </c>
      <c r="C29" s="159">
        <v>0</v>
      </c>
      <c r="D29" s="134">
        <f t="shared" si="0"/>
        <v>0</v>
      </c>
      <c r="E29" s="30"/>
      <c r="F29" s="164">
        <v>0</v>
      </c>
      <c r="G29" s="88"/>
      <c r="H29" s="88"/>
    </row>
    <row r="30" spans="1:9" s="90" customFormat="1" ht="39.75" customHeight="1">
      <c r="A30" s="33">
        <v>152</v>
      </c>
      <c r="B30" s="34" t="s">
        <v>29</v>
      </c>
      <c r="C30" s="165">
        <v>20500000</v>
      </c>
      <c r="D30" s="135">
        <f t="shared" si="0"/>
        <v>0</v>
      </c>
      <c r="E30" s="35">
        <f>F30/C30-1</f>
        <v>0</v>
      </c>
      <c r="F30" s="165">
        <f>C30</f>
        <v>20500000</v>
      </c>
      <c r="G30" s="237"/>
      <c r="H30" s="239"/>
      <c r="I30" s="239"/>
    </row>
    <row r="31" spans="1:9" s="90" customFormat="1" ht="18.75" customHeight="1">
      <c r="A31" s="33">
        <v>153</v>
      </c>
      <c r="B31" s="34" t="s">
        <v>30</v>
      </c>
      <c r="C31" s="165">
        <v>0</v>
      </c>
      <c r="D31" s="135">
        <f t="shared" si="0"/>
        <v>0</v>
      </c>
      <c r="E31" s="35" t="s">
        <v>428</v>
      </c>
      <c r="F31" s="165">
        <v>0</v>
      </c>
      <c r="G31" s="88"/>
      <c r="H31" s="88"/>
    </row>
    <row r="32" spans="1:9" s="90" customFormat="1" ht="32.25" customHeight="1">
      <c r="A32" s="33">
        <v>154</v>
      </c>
      <c r="B32" s="34" t="s">
        <v>31</v>
      </c>
      <c r="C32" s="165">
        <v>225140852</v>
      </c>
      <c r="D32" s="135">
        <f t="shared" si="0"/>
        <v>24507173</v>
      </c>
      <c r="E32" s="35">
        <f>F32/C32-1</f>
        <v>0.10885262617732305</v>
      </c>
      <c r="F32" s="165">
        <f>C32+24507173</f>
        <v>249648025</v>
      </c>
      <c r="G32" s="237"/>
      <c r="H32" s="239"/>
      <c r="I32" s="239"/>
    </row>
    <row r="33" spans="1:8" s="90" customFormat="1" ht="18.75" customHeight="1">
      <c r="A33" s="33">
        <v>155</v>
      </c>
      <c r="B33" s="34" t="s">
        <v>32</v>
      </c>
      <c r="C33" s="165">
        <v>0</v>
      </c>
      <c r="D33" s="135">
        <f t="shared" si="0"/>
        <v>0</v>
      </c>
      <c r="E33" s="35" t="s">
        <v>428</v>
      </c>
      <c r="F33" s="165">
        <v>0</v>
      </c>
      <c r="G33" s="88"/>
      <c r="H33" s="88"/>
    </row>
    <row r="34" spans="1:8" s="38" customFormat="1" ht="12.75" hidden="1" customHeight="1">
      <c r="A34" s="26">
        <v>159</v>
      </c>
      <c r="B34" s="31" t="s">
        <v>33</v>
      </c>
      <c r="C34" s="159">
        <v>0</v>
      </c>
      <c r="D34" s="134">
        <f t="shared" si="0"/>
        <v>0</v>
      </c>
      <c r="E34" s="30"/>
      <c r="F34" s="165">
        <v>0</v>
      </c>
      <c r="G34" s="88"/>
      <c r="H34" s="88"/>
    </row>
    <row r="35" spans="1:8" s="37" customFormat="1" ht="12.75" hidden="1" customHeight="1">
      <c r="A35" s="21">
        <v>1600</v>
      </c>
      <c r="B35" s="22" t="s">
        <v>34</v>
      </c>
      <c r="C35" s="130">
        <v>0</v>
      </c>
      <c r="D35" s="130">
        <f t="shared" si="0"/>
        <v>0</v>
      </c>
      <c r="E35" s="25" t="e">
        <f>F35/C35-1</f>
        <v>#DIV/0!</v>
      </c>
      <c r="F35" s="165">
        <v>0</v>
      </c>
      <c r="G35" s="88"/>
      <c r="H35" s="88"/>
    </row>
    <row r="36" spans="1:8" s="38" customFormat="1" ht="12.75" hidden="1" customHeight="1">
      <c r="A36" s="26">
        <v>161</v>
      </c>
      <c r="B36" s="31" t="s">
        <v>35</v>
      </c>
      <c r="C36" s="134">
        <v>0</v>
      </c>
      <c r="D36" s="134">
        <f t="shared" si="0"/>
        <v>0</v>
      </c>
      <c r="E36" s="30"/>
      <c r="F36" s="165">
        <v>0</v>
      </c>
      <c r="G36" s="88"/>
      <c r="H36" s="88"/>
    </row>
    <row r="37" spans="1:8" s="37" customFormat="1" ht="21.95" customHeight="1">
      <c r="A37" s="21">
        <v>1700</v>
      </c>
      <c r="B37" s="22" t="s">
        <v>36</v>
      </c>
      <c r="C37" s="99">
        <f>C38</f>
        <v>19437986</v>
      </c>
      <c r="D37" s="130">
        <f>F37-C37</f>
        <v>758414</v>
      </c>
      <c r="E37" s="25">
        <f>F37/C37-1</f>
        <v>3.901710804812808E-2</v>
      </c>
      <c r="F37" s="99">
        <f>F38</f>
        <v>20196400</v>
      </c>
      <c r="G37" s="88"/>
      <c r="H37" s="88"/>
    </row>
    <row r="38" spans="1:8" s="38" customFormat="1" ht="18.75" customHeight="1">
      <c r="A38" s="26">
        <v>171</v>
      </c>
      <c r="B38" s="31" t="s">
        <v>37</v>
      </c>
      <c r="C38" s="164">
        <v>19437986</v>
      </c>
      <c r="D38" s="194">
        <f t="shared" si="0"/>
        <v>758414</v>
      </c>
      <c r="E38" s="30">
        <f>F38/C38-1</f>
        <v>3.901710804812808E-2</v>
      </c>
      <c r="F38" s="164">
        <f>C38+758414</f>
        <v>20196400</v>
      </c>
      <c r="G38" s="187"/>
      <c r="H38" s="88"/>
    </row>
    <row r="39" spans="1:8" s="38" customFormat="1" ht="18.75" customHeight="1">
      <c r="A39" s="26">
        <v>172</v>
      </c>
      <c r="B39" s="31" t="s">
        <v>38</v>
      </c>
      <c r="C39" s="29">
        <v>0</v>
      </c>
      <c r="D39" s="135">
        <f t="shared" si="0"/>
        <v>0</v>
      </c>
      <c r="E39" s="35" t="s">
        <v>428</v>
      </c>
      <c r="F39" s="131">
        <v>0</v>
      </c>
      <c r="G39" s="88"/>
      <c r="H39" s="88"/>
    </row>
    <row r="40" spans="1:8" s="37" customFormat="1" ht="18.75" customHeight="1">
      <c r="A40" s="21">
        <v>1800</v>
      </c>
      <c r="B40" s="22" t="s">
        <v>39</v>
      </c>
      <c r="C40" s="24">
        <v>0</v>
      </c>
      <c r="D40" s="130">
        <f>SUM(D41:D42)</f>
        <v>0</v>
      </c>
      <c r="E40" s="25" t="s">
        <v>428</v>
      </c>
      <c r="F40" s="130">
        <f>SUM(F41:F42)</f>
        <v>0</v>
      </c>
      <c r="G40" s="95"/>
      <c r="H40" s="95"/>
    </row>
    <row r="41" spans="1:8" s="38" customFormat="1" ht="18.75" customHeight="1">
      <c r="A41" s="26">
        <v>181</v>
      </c>
      <c r="B41" s="31" t="s">
        <v>40</v>
      </c>
      <c r="C41" s="29"/>
      <c r="D41" s="135">
        <f t="shared" ref="D41:D42" si="2">F41-C41</f>
        <v>0</v>
      </c>
      <c r="E41" s="35" t="s">
        <v>428</v>
      </c>
      <c r="F41" s="131">
        <v>0</v>
      </c>
      <c r="G41" s="88"/>
      <c r="H41" s="88"/>
    </row>
    <row r="42" spans="1:8" s="38" customFormat="1" ht="18.75" customHeight="1">
      <c r="A42" s="26">
        <v>182</v>
      </c>
      <c r="B42" s="31" t="s">
        <v>41</v>
      </c>
      <c r="C42" s="29"/>
      <c r="D42" s="135">
        <f t="shared" si="2"/>
        <v>0</v>
      </c>
      <c r="E42" s="35" t="s">
        <v>428</v>
      </c>
      <c r="F42" s="131">
        <v>0</v>
      </c>
      <c r="G42" s="88"/>
      <c r="H42" s="88"/>
    </row>
  </sheetData>
  <sheetProtection selectLockedCells="1" selectUnlockedCells="1"/>
  <mergeCells count="12">
    <mergeCell ref="F1:F2"/>
    <mergeCell ref="A1:A2"/>
    <mergeCell ref="B1:B2"/>
    <mergeCell ref="C1:C2"/>
    <mergeCell ref="D1:E1"/>
    <mergeCell ref="G7:I7"/>
    <mergeCell ref="G26:I26"/>
    <mergeCell ref="G30:I30"/>
    <mergeCell ref="G32:I32"/>
    <mergeCell ref="G11:I11"/>
    <mergeCell ref="G16:I16"/>
    <mergeCell ref="G25:I25"/>
  </mergeCells>
  <phoneticPr fontId="5" type="noConversion"/>
  <conditionalFormatting sqref="F5:F8 F10:F13 F15:F22 F24:F27 F38 F29:F36 C5:C8 C11 C15:C21 C24:C27 C29:C34 C38 F41:F42">
    <cfRule type="containsBlanks" dxfId="87" priority="31">
      <formula>LEN(TRIM(C5))=0</formula>
    </cfRule>
  </conditionalFormatting>
  <conditionalFormatting sqref="F39">
    <cfRule type="containsBlanks" dxfId="86" priority="1">
      <formula>LEN(TRIM(F39))=0</formula>
    </cfRule>
  </conditionalFormatting>
  <dataValidations count="1">
    <dataValidation type="whole" errorStyle="warning" operator="greaterThan" allowBlank="1" showInputMessage="1" showErrorMessage="1" errorTitle="IMPORTANTE" error="Se recomienda leer las instrucciones antes de inciar con el llenado del presupuesto por objeto del gasto" sqref="F1 B1:D1">
      <formula1>0</formula1>
    </dataValidation>
  </dataValidations>
  <printOptions horizontalCentered="1"/>
  <pageMargins left="0" right="0" top="0.78740157480314965" bottom="0" header="0" footer="0"/>
  <pageSetup scale="75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H67"/>
  <sheetViews>
    <sheetView showGridLines="0" view="pageBreakPreview" zoomScaleSheetLayoutView="100" workbookViewId="0">
      <pane xSplit="1" ySplit="3" topLeftCell="B4" activePane="bottomRight" state="frozen"/>
      <selection activeCell="B73" sqref="B73:B86"/>
      <selection pane="topRight" activeCell="B73" sqref="B73:B86"/>
      <selection pane="bottomLeft" activeCell="B73" sqref="B73:B86"/>
      <selection pane="bottomRight" activeCell="F1" sqref="F1:F2"/>
    </sheetView>
  </sheetViews>
  <sheetFormatPr baseColWidth="10" defaultRowHeight="18.75" customHeight="1"/>
  <cols>
    <col min="1" max="1" width="14.7109375" style="39" customWidth="1"/>
    <col min="2" max="2" width="86.7109375" style="40" customWidth="1"/>
    <col min="3" max="3" width="18.7109375" style="41" customWidth="1"/>
    <col min="4" max="4" width="15.7109375" style="125" customWidth="1"/>
    <col min="5" max="5" width="8.140625" style="42" customWidth="1"/>
    <col min="6" max="6" width="18.7109375" style="125" customWidth="1"/>
    <col min="7" max="7" width="37.42578125" style="43" customWidth="1"/>
    <col min="8" max="16384" width="11.42578125" style="43"/>
  </cols>
  <sheetData>
    <row r="1" spans="1:8" s="64" customFormat="1" ht="18.75" customHeight="1" thickBot="1">
      <c r="A1" s="242" t="s">
        <v>0</v>
      </c>
      <c r="B1" s="244" t="s">
        <v>1</v>
      </c>
      <c r="C1" s="248" t="s">
        <v>429</v>
      </c>
      <c r="D1" s="250" t="s">
        <v>427</v>
      </c>
      <c r="E1" s="251"/>
      <c r="F1" s="248" t="s">
        <v>436</v>
      </c>
    </row>
    <row r="2" spans="1:8" s="64" customFormat="1" ht="18.75" customHeight="1" thickBot="1">
      <c r="A2" s="243"/>
      <c r="B2" s="245"/>
      <c r="C2" s="249"/>
      <c r="D2" s="170" t="s">
        <v>420</v>
      </c>
      <c r="E2" s="65" t="s">
        <v>421</v>
      </c>
      <c r="F2" s="249"/>
    </row>
    <row r="3" spans="1:8" s="36" customFormat="1" ht="24.95" customHeight="1">
      <c r="A3" s="59">
        <v>2000</v>
      </c>
      <c r="B3" s="60" t="s">
        <v>42</v>
      </c>
      <c r="C3" s="129">
        <f>C4+C13+C27+C37+C45+C48+C54+C58</f>
        <v>112859000</v>
      </c>
      <c r="D3" s="129">
        <f>F3-C3</f>
        <v>34709750</v>
      </c>
      <c r="E3" s="63">
        <f t="shared" ref="E3:E11" si="0">F3/C3-1</f>
        <v>0.30754968589124476</v>
      </c>
      <c r="F3" s="129">
        <f>F4+F13+F27+F37+F45+F48+F54+F58</f>
        <v>147568750</v>
      </c>
      <c r="H3" s="87"/>
    </row>
    <row r="4" spans="1:8" s="37" customFormat="1" ht="21.95" customHeight="1">
      <c r="A4" s="21">
        <v>2100</v>
      </c>
      <c r="B4" s="22" t="s">
        <v>43</v>
      </c>
      <c r="C4" s="130">
        <f>SUM(C5:C12)</f>
        <v>11030000</v>
      </c>
      <c r="D4" s="130">
        <f t="shared" ref="D4:D66" si="1">F4-C4</f>
        <v>-500000</v>
      </c>
      <c r="E4" s="25">
        <f t="shared" si="0"/>
        <v>-4.5330915684496875E-2</v>
      </c>
      <c r="F4" s="130">
        <f>SUM(F5:F12)</f>
        <v>10530000</v>
      </c>
    </row>
    <row r="5" spans="1:8" s="38" customFormat="1" ht="18.75" customHeight="1">
      <c r="A5" s="26">
        <v>211</v>
      </c>
      <c r="B5" s="27" t="s">
        <v>44</v>
      </c>
      <c r="C5" s="134">
        <v>4500000</v>
      </c>
      <c r="D5" s="134">
        <f t="shared" si="1"/>
        <v>0</v>
      </c>
      <c r="E5" s="30">
        <f t="shared" si="0"/>
        <v>0</v>
      </c>
      <c r="F5" s="134">
        <v>4500000</v>
      </c>
    </row>
    <row r="6" spans="1:8" s="66" customFormat="1" ht="18.75" customHeight="1">
      <c r="A6" s="69">
        <v>212</v>
      </c>
      <c r="B6" s="70" t="s">
        <v>45</v>
      </c>
      <c r="C6" s="134">
        <v>80000</v>
      </c>
      <c r="D6" s="134">
        <f t="shared" si="1"/>
        <v>0</v>
      </c>
      <c r="E6" s="72">
        <f t="shared" si="0"/>
        <v>0</v>
      </c>
      <c r="F6" s="134">
        <v>80000</v>
      </c>
    </row>
    <row r="7" spans="1:8" s="66" customFormat="1" ht="18.75" customHeight="1">
      <c r="A7" s="69">
        <v>213</v>
      </c>
      <c r="B7" s="70" t="s">
        <v>46</v>
      </c>
      <c r="C7" s="134">
        <v>50000</v>
      </c>
      <c r="D7" s="134">
        <f t="shared" si="1"/>
        <v>0</v>
      </c>
      <c r="E7" s="72">
        <f t="shared" si="0"/>
        <v>0</v>
      </c>
      <c r="F7" s="134">
        <v>50000</v>
      </c>
    </row>
    <row r="8" spans="1:8" s="66" customFormat="1" ht="18.75" customHeight="1">
      <c r="A8" s="69">
        <v>214</v>
      </c>
      <c r="B8" s="70" t="s">
        <v>47</v>
      </c>
      <c r="C8" s="160">
        <v>3000000</v>
      </c>
      <c r="D8" s="134">
        <f t="shared" si="1"/>
        <v>-500000</v>
      </c>
      <c r="E8" s="72">
        <f t="shared" si="0"/>
        <v>-0.16666666666666663</v>
      </c>
      <c r="F8" s="160">
        <f>3000000-150000-100000-20000-20000-150000-60000</f>
        <v>2500000</v>
      </c>
    </row>
    <row r="9" spans="1:8" s="66" customFormat="1" ht="18.75" customHeight="1">
      <c r="A9" s="69">
        <v>215</v>
      </c>
      <c r="B9" s="70" t="s">
        <v>48</v>
      </c>
      <c r="C9" s="160">
        <v>1000000</v>
      </c>
      <c r="D9" s="134">
        <f t="shared" si="1"/>
        <v>0</v>
      </c>
      <c r="E9" s="72">
        <f t="shared" si="0"/>
        <v>0</v>
      </c>
      <c r="F9" s="160">
        <v>1000000</v>
      </c>
    </row>
    <row r="10" spans="1:8" s="66" customFormat="1" ht="18.75" customHeight="1">
      <c r="A10" s="69">
        <v>216</v>
      </c>
      <c r="B10" s="70" t="s">
        <v>49</v>
      </c>
      <c r="C10" s="160">
        <v>2300000</v>
      </c>
      <c r="D10" s="160">
        <f t="shared" si="1"/>
        <v>0</v>
      </c>
      <c r="E10" s="72">
        <f t="shared" si="0"/>
        <v>0</v>
      </c>
      <c r="F10" s="160">
        <v>2300000</v>
      </c>
    </row>
    <row r="11" spans="1:8" s="67" customFormat="1" ht="18.75" customHeight="1">
      <c r="A11" s="69">
        <v>217</v>
      </c>
      <c r="B11" s="70" t="s">
        <v>50</v>
      </c>
      <c r="C11" s="160">
        <v>100000</v>
      </c>
      <c r="D11" s="160">
        <f t="shared" si="1"/>
        <v>0</v>
      </c>
      <c r="E11" s="72">
        <f t="shared" si="0"/>
        <v>0</v>
      </c>
      <c r="F11" s="160">
        <v>100000</v>
      </c>
    </row>
    <row r="12" spans="1:8" s="66" customFormat="1" ht="18.75" customHeight="1">
      <c r="A12" s="69">
        <v>218</v>
      </c>
      <c r="B12" s="70" t="s">
        <v>51</v>
      </c>
      <c r="C12" s="160">
        <v>0</v>
      </c>
      <c r="D12" s="160">
        <f t="shared" si="1"/>
        <v>0</v>
      </c>
      <c r="E12" s="72" t="s">
        <v>428</v>
      </c>
      <c r="F12" s="160">
        <v>0</v>
      </c>
    </row>
    <row r="13" spans="1:8" s="37" customFormat="1" ht="21.95" customHeight="1">
      <c r="A13" s="21">
        <v>2200</v>
      </c>
      <c r="B13" s="22" t="s">
        <v>52</v>
      </c>
      <c r="C13" s="130">
        <f>SUM(C14:C16)</f>
        <v>6430000</v>
      </c>
      <c r="D13" s="130">
        <f t="shared" si="1"/>
        <v>419750</v>
      </c>
      <c r="E13" s="25">
        <f>F13/C13-1</f>
        <v>6.5279937791601794E-2</v>
      </c>
      <c r="F13" s="130">
        <f>SUM(F14:F16)</f>
        <v>6849750</v>
      </c>
    </row>
    <row r="14" spans="1:8" s="66" customFormat="1" ht="18.75" customHeight="1">
      <c r="A14" s="69">
        <v>221</v>
      </c>
      <c r="B14" s="70" t="s">
        <v>53</v>
      </c>
      <c r="C14" s="160">
        <v>2200000</v>
      </c>
      <c r="D14" s="160">
        <f t="shared" si="1"/>
        <v>0</v>
      </c>
      <c r="E14" s="72">
        <f>F14/C14-1</f>
        <v>0</v>
      </c>
      <c r="F14" s="160">
        <v>2200000</v>
      </c>
    </row>
    <row r="15" spans="1:8" s="67" customFormat="1" ht="40.5" customHeight="1">
      <c r="A15" s="69">
        <v>222</v>
      </c>
      <c r="B15" s="70" t="s">
        <v>54</v>
      </c>
      <c r="C15" s="160">
        <v>4200000</v>
      </c>
      <c r="D15" s="134">
        <f t="shared" si="1"/>
        <v>419750</v>
      </c>
      <c r="E15" s="72">
        <f>F15/C15-1</f>
        <v>9.994047619047608E-2</v>
      </c>
      <c r="F15" s="160">
        <f>4200000+419750</f>
        <v>4619750</v>
      </c>
      <c r="G15" s="106"/>
    </row>
    <row r="16" spans="1:8" s="66" customFormat="1" ht="18.75" customHeight="1">
      <c r="A16" s="69">
        <v>223</v>
      </c>
      <c r="B16" s="70" t="s">
        <v>55</v>
      </c>
      <c r="C16" s="160">
        <v>30000</v>
      </c>
      <c r="D16" s="160">
        <f t="shared" si="1"/>
        <v>0</v>
      </c>
      <c r="E16" s="72">
        <f>F16/C16-1</f>
        <v>0</v>
      </c>
      <c r="F16" s="160">
        <v>30000</v>
      </c>
    </row>
    <row r="17" spans="1:7" s="37" customFormat="1" ht="21.95" hidden="1" customHeight="1">
      <c r="A17" s="21">
        <v>2300</v>
      </c>
      <c r="B17" s="22" t="s">
        <v>56</v>
      </c>
      <c r="C17" s="130">
        <v>0</v>
      </c>
      <c r="D17" s="130">
        <f t="shared" si="1"/>
        <v>0</v>
      </c>
      <c r="E17" s="25" t="e">
        <f>F17/C17-1</f>
        <v>#DIV/0!</v>
      </c>
      <c r="F17" s="130">
        <v>0</v>
      </c>
    </row>
    <row r="18" spans="1:7" s="66" customFormat="1" ht="18.75" hidden="1" customHeight="1">
      <c r="A18" s="69">
        <v>231</v>
      </c>
      <c r="B18" s="70" t="s">
        <v>57</v>
      </c>
      <c r="C18" s="160">
        <v>0</v>
      </c>
      <c r="D18" s="160">
        <f t="shared" si="1"/>
        <v>0</v>
      </c>
      <c r="E18" s="72"/>
      <c r="F18" s="160">
        <v>0</v>
      </c>
    </row>
    <row r="19" spans="1:7" s="66" customFormat="1" ht="18.75" hidden="1" customHeight="1">
      <c r="A19" s="69">
        <v>232</v>
      </c>
      <c r="B19" s="70" t="s">
        <v>58</v>
      </c>
      <c r="C19" s="160">
        <v>0</v>
      </c>
      <c r="D19" s="160">
        <f t="shared" si="1"/>
        <v>0</v>
      </c>
      <c r="E19" s="72"/>
      <c r="F19" s="160">
        <v>0</v>
      </c>
    </row>
    <row r="20" spans="1:7" s="66" customFormat="1" ht="18.75" hidden="1" customHeight="1">
      <c r="A20" s="69">
        <v>233</v>
      </c>
      <c r="B20" s="70" t="s">
        <v>59</v>
      </c>
      <c r="C20" s="160">
        <v>0</v>
      </c>
      <c r="D20" s="160">
        <f t="shared" si="1"/>
        <v>0</v>
      </c>
      <c r="E20" s="72"/>
      <c r="F20" s="160">
        <v>0</v>
      </c>
    </row>
    <row r="21" spans="1:7" s="66" customFormat="1" ht="18.75" hidden="1" customHeight="1">
      <c r="A21" s="69">
        <v>234</v>
      </c>
      <c r="B21" s="70" t="s">
        <v>60</v>
      </c>
      <c r="C21" s="160">
        <v>0</v>
      </c>
      <c r="D21" s="160">
        <f t="shared" si="1"/>
        <v>0</v>
      </c>
      <c r="E21" s="72"/>
      <c r="F21" s="160">
        <v>0</v>
      </c>
    </row>
    <row r="22" spans="1:7" s="66" customFormat="1" ht="18.75" hidden="1" customHeight="1">
      <c r="A22" s="69">
        <v>235</v>
      </c>
      <c r="B22" s="70" t="s">
        <v>61</v>
      </c>
      <c r="C22" s="160">
        <v>0</v>
      </c>
      <c r="D22" s="160">
        <f t="shared" si="1"/>
        <v>0</v>
      </c>
      <c r="E22" s="72"/>
      <c r="F22" s="160">
        <v>0</v>
      </c>
    </row>
    <row r="23" spans="1:7" s="66" customFormat="1" ht="18.75" hidden="1" customHeight="1">
      <c r="A23" s="69">
        <v>236</v>
      </c>
      <c r="B23" s="70" t="s">
        <v>62</v>
      </c>
      <c r="C23" s="160">
        <v>0</v>
      </c>
      <c r="D23" s="160">
        <f t="shared" si="1"/>
        <v>0</v>
      </c>
      <c r="E23" s="72"/>
      <c r="F23" s="160">
        <v>0</v>
      </c>
    </row>
    <row r="24" spans="1:7" s="66" customFormat="1" ht="18.75" hidden="1" customHeight="1">
      <c r="A24" s="69">
        <v>237</v>
      </c>
      <c r="B24" s="70" t="s">
        <v>63</v>
      </c>
      <c r="C24" s="160">
        <v>0</v>
      </c>
      <c r="D24" s="160">
        <f t="shared" si="1"/>
        <v>0</v>
      </c>
      <c r="E24" s="72"/>
      <c r="F24" s="160">
        <v>0</v>
      </c>
    </row>
    <row r="25" spans="1:7" s="67" customFormat="1" ht="18.75" hidden="1" customHeight="1">
      <c r="A25" s="69">
        <v>238</v>
      </c>
      <c r="B25" s="70" t="s">
        <v>64</v>
      </c>
      <c r="C25" s="160">
        <v>0</v>
      </c>
      <c r="D25" s="160">
        <f t="shared" si="1"/>
        <v>0</v>
      </c>
      <c r="E25" s="72"/>
      <c r="F25" s="160">
        <v>0</v>
      </c>
    </row>
    <row r="26" spans="1:7" s="66" customFormat="1" ht="18.75" hidden="1" customHeight="1">
      <c r="A26" s="69">
        <v>239</v>
      </c>
      <c r="B26" s="70" t="s">
        <v>65</v>
      </c>
      <c r="C26" s="160">
        <v>0</v>
      </c>
      <c r="D26" s="160">
        <f t="shared" si="1"/>
        <v>0</v>
      </c>
      <c r="E26" s="72"/>
      <c r="F26" s="160">
        <v>0</v>
      </c>
    </row>
    <row r="27" spans="1:7" s="37" customFormat="1" ht="21.95" customHeight="1">
      <c r="A27" s="21">
        <v>2400</v>
      </c>
      <c r="B27" s="22" t="s">
        <v>66</v>
      </c>
      <c r="C27" s="130">
        <f>SUM(C28:C36)</f>
        <v>2740000</v>
      </c>
      <c r="D27" s="130">
        <f t="shared" si="1"/>
        <v>7000000</v>
      </c>
      <c r="E27" s="25">
        <f>F27/C27-1</f>
        <v>2.5547445255474455</v>
      </c>
      <c r="F27" s="130">
        <f>SUM(F28:F36)</f>
        <v>9740000</v>
      </c>
    </row>
    <row r="28" spans="1:7" s="66" customFormat="1" ht="18.75" customHeight="1">
      <c r="A28" s="69">
        <v>241</v>
      </c>
      <c r="B28" s="70" t="s">
        <v>67</v>
      </c>
      <c r="C28" s="160">
        <v>100000</v>
      </c>
      <c r="D28" s="160">
        <f t="shared" si="1"/>
        <v>0</v>
      </c>
      <c r="E28" s="72">
        <v>0</v>
      </c>
      <c r="F28" s="160">
        <f>100000</f>
        <v>100000</v>
      </c>
      <c r="G28" s="106"/>
    </row>
    <row r="29" spans="1:7" s="66" customFormat="1" ht="18.75" customHeight="1">
      <c r="A29" s="69">
        <v>242</v>
      </c>
      <c r="B29" s="70" t="s">
        <v>68</v>
      </c>
      <c r="C29" s="160">
        <v>400000</v>
      </c>
      <c r="D29" s="160">
        <f t="shared" si="1"/>
        <v>0</v>
      </c>
      <c r="E29" s="72">
        <f t="shared" ref="E29:E36" si="2">F29/C29-1</f>
        <v>0</v>
      </c>
      <c r="F29" s="160">
        <f>400000</f>
        <v>400000</v>
      </c>
      <c r="G29" s="106"/>
    </row>
    <row r="30" spans="1:7" s="66" customFormat="1" ht="18.75" customHeight="1">
      <c r="A30" s="69">
        <v>243</v>
      </c>
      <c r="B30" s="70" t="s">
        <v>69</v>
      </c>
      <c r="C30" s="160">
        <v>10000</v>
      </c>
      <c r="D30" s="160">
        <f t="shared" si="1"/>
        <v>0</v>
      </c>
      <c r="E30" s="72">
        <f t="shared" si="2"/>
        <v>0</v>
      </c>
      <c r="F30" s="160">
        <v>10000</v>
      </c>
    </row>
    <row r="31" spans="1:7" s="66" customFormat="1" ht="18.75" customHeight="1">
      <c r="A31" s="69">
        <v>244</v>
      </c>
      <c r="B31" s="70" t="s">
        <v>70</v>
      </c>
      <c r="C31" s="160">
        <v>0</v>
      </c>
      <c r="D31" s="160">
        <f t="shared" si="1"/>
        <v>0</v>
      </c>
      <c r="E31" s="72" t="s">
        <v>428</v>
      </c>
      <c r="F31" s="160">
        <v>0</v>
      </c>
    </row>
    <row r="32" spans="1:7" s="66" customFormat="1" ht="18.75" customHeight="1">
      <c r="A32" s="69">
        <v>245</v>
      </c>
      <c r="B32" s="70" t="s">
        <v>71</v>
      </c>
      <c r="C32" s="160">
        <v>30000</v>
      </c>
      <c r="D32" s="160">
        <f t="shared" si="1"/>
        <v>0</v>
      </c>
      <c r="E32" s="72">
        <f t="shared" si="2"/>
        <v>0</v>
      </c>
      <c r="F32" s="160">
        <v>30000</v>
      </c>
    </row>
    <row r="33" spans="1:8" s="66" customFormat="1" ht="25.5" customHeight="1">
      <c r="A33" s="69">
        <v>246</v>
      </c>
      <c r="B33" s="70" t="s">
        <v>72</v>
      </c>
      <c r="C33" s="160">
        <v>800000</v>
      </c>
      <c r="D33" s="160">
        <f t="shared" si="1"/>
        <v>7000000</v>
      </c>
      <c r="E33" s="72">
        <f t="shared" si="2"/>
        <v>8.75</v>
      </c>
      <c r="F33" s="160">
        <f>800000+7000000</f>
        <v>7800000</v>
      </c>
      <c r="G33" s="246"/>
      <c r="H33" s="247"/>
    </row>
    <row r="34" spans="1:8" s="66" customFormat="1" ht="18.75" customHeight="1">
      <c r="A34" s="69">
        <v>247</v>
      </c>
      <c r="B34" s="70" t="s">
        <v>73</v>
      </c>
      <c r="C34" s="160">
        <v>70000</v>
      </c>
      <c r="D34" s="160">
        <f t="shared" si="1"/>
        <v>0</v>
      </c>
      <c r="E34" s="72">
        <f t="shared" si="2"/>
        <v>0</v>
      </c>
      <c r="F34" s="160">
        <v>70000</v>
      </c>
    </row>
    <row r="35" spans="1:8" s="66" customFormat="1" ht="18.75" customHeight="1">
      <c r="A35" s="69">
        <v>248</v>
      </c>
      <c r="B35" s="70" t="s">
        <v>74</v>
      </c>
      <c r="C35" s="160">
        <v>30000</v>
      </c>
      <c r="D35" s="160">
        <f t="shared" si="1"/>
        <v>0</v>
      </c>
      <c r="E35" s="72">
        <f t="shared" si="2"/>
        <v>0</v>
      </c>
      <c r="F35" s="160">
        <f>30000</f>
        <v>30000</v>
      </c>
    </row>
    <row r="36" spans="1:8" s="66" customFormat="1" ht="27" customHeight="1">
      <c r="A36" s="69">
        <v>249</v>
      </c>
      <c r="B36" s="70" t="s">
        <v>75</v>
      </c>
      <c r="C36" s="160">
        <v>1300000</v>
      </c>
      <c r="D36" s="160">
        <f t="shared" si="1"/>
        <v>0</v>
      </c>
      <c r="E36" s="72">
        <f t="shared" si="2"/>
        <v>0</v>
      </c>
      <c r="F36" s="160">
        <v>1300000</v>
      </c>
      <c r="G36" s="107"/>
    </row>
    <row r="37" spans="1:8" s="37" customFormat="1" ht="21.95" customHeight="1">
      <c r="A37" s="21">
        <v>2500</v>
      </c>
      <c r="B37" s="22" t="s">
        <v>76</v>
      </c>
      <c r="C37" s="130">
        <f>SUM(C38:C44)</f>
        <v>7542000</v>
      </c>
      <c r="D37" s="130">
        <f t="shared" si="1"/>
        <v>250000</v>
      </c>
      <c r="E37" s="25">
        <f t="shared" ref="E37:E42" si="3">F37/C37-1</f>
        <v>3.3147706178732417E-2</v>
      </c>
      <c r="F37" s="130">
        <f>SUM(F38:F44)</f>
        <v>7792000</v>
      </c>
    </row>
    <row r="38" spans="1:8" s="68" customFormat="1" ht="18.75" customHeight="1">
      <c r="A38" s="73">
        <v>251</v>
      </c>
      <c r="B38" s="74" t="s">
        <v>77</v>
      </c>
      <c r="C38" s="160">
        <v>50000</v>
      </c>
      <c r="D38" s="160">
        <f t="shared" si="1"/>
        <v>0</v>
      </c>
      <c r="E38" s="75">
        <f t="shared" si="3"/>
        <v>0</v>
      </c>
      <c r="F38" s="160">
        <v>50000</v>
      </c>
    </row>
    <row r="39" spans="1:8" s="68" customFormat="1" ht="18.75" customHeight="1">
      <c r="A39" s="73">
        <v>252</v>
      </c>
      <c r="B39" s="74" t="s">
        <v>78</v>
      </c>
      <c r="C39" s="160">
        <v>120000</v>
      </c>
      <c r="D39" s="160">
        <f t="shared" si="1"/>
        <v>0</v>
      </c>
      <c r="E39" s="75">
        <f t="shared" si="3"/>
        <v>0</v>
      </c>
      <c r="F39" s="160">
        <v>120000</v>
      </c>
    </row>
    <row r="40" spans="1:8" s="68" customFormat="1" ht="18.75" customHeight="1">
      <c r="A40" s="73">
        <v>253</v>
      </c>
      <c r="B40" s="74" t="s">
        <v>79</v>
      </c>
      <c r="C40" s="160">
        <v>1050000</v>
      </c>
      <c r="D40" s="160">
        <f t="shared" si="1"/>
        <v>150000</v>
      </c>
      <c r="E40" s="75">
        <f t="shared" si="3"/>
        <v>0.14285714285714279</v>
      </c>
      <c r="F40" s="160">
        <f>1050000+150000</f>
        <v>1200000</v>
      </c>
    </row>
    <row r="41" spans="1:8" s="68" customFormat="1" ht="18.75" customHeight="1">
      <c r="A41" s="73">
        <v>254</v>
      </c>
      <c r="B41" s="74" t="s">
        <v>80</v>
      </c>
      <c r="C41" s="160">
        <v>400000</v>
      </c>
      <c r="D41" s="160">
        <f t="shared" si="1"/>
        <v>0</v>
      </c>
      <c r="E41" s="75">
        <f t="shared" si="3"/>
        <v>0</v>
      </c>
      <c r="F41" s="160">
        <f>400000</f>
        <v>400000</v>
      </c>
    </row>
    <row r="42" spans="1:8" s="68" customFormat="1" ht="18.75" customHeight="1">
      <c r="A42" s="73">
        <v>255</v>
      </c>
      <c r="B42" s="74" t="s">
        <v>81</v>
      </c>
      <c r="C42" s="161">
        <v>90000</v>
      </c>
      <c r="D42" s="160">
        <f t="shared" si="1"/>
        <v>0</v>
      </c>
      <c r="E42" s="75">
        <f t="shared" si="3"/>
        <v>0</v>
      </c>
      <c r="F42" s="161">
        <f>90000</f>
        <v>90000</v>
      </c>
    </row>
    <row r="43" spans="1:8" s="68" customFormat="1" ht="18.75" customHeight="1">
      <c r="A43" s="73">
        <v>256</v>
      </c>
      <c r="B43" s="74" t="s">
        <v>82</v>
      </c>
      <c r="C43" s="161">
        <v>350000</v>
      </c>
      <c r="D43" s="160">
        <f t="shared" si="1"/>
        <v>100000</v>
      </c>
      <c r="E43" s="75">
        <f t="shared" ref="E43:E52" si="4">F43/C43-1</f>
        <v>0.28571428571428581</v>
      </c>
      <c r="F43" s="161">
        <f>350000+100000</f>
        <v>450000</v>
      </c>
    </row>
    <row r="44" spans="1:8" s="68" customFormat="1" ht="18.75" customHeight="1">
      <c r="A44" s="73">
        <v>259</v>
      </c>
      <c r="B44" s="74" t="s">
        <v>83</v>
      </c>
      <c r="C44" s="160">
        <v>5482000</v>
      </c>
      <c r="D44" s="160">
        <f t="shared" si="1"/>
        <v>0</v>
      </c>
      <c r="E44" s="75">
        <f t="shared" si="4"/>
        <v>0</v>
      </c>
      <c r="F44" s="160">
        <v>5482000</v>
      </c>
    </row>
    <row r="45" spans="1:8" s="37" customFormat="1" ht="21.95" customHeight="1">
      <c r="A45" s="21">
        <v>2600</v>
      </c>
      <c r="B45" s="22" t="s">
        <v>84</v>
      </c>
      <c r="C45" s="130">
        <f>SUM(C46:C47)</f>
        <v>63020000</v>
      </c>
      <c r="D45" s="130">
        <f t="shared" si="1"/>
        <v>25000000</v>
      </c>
      <c r="E45" s="25">
        <f t="shared" si="4"/>
        <v>0.39669946048873372</v>
      </c>
      <c r="F45" s="130">
        <f>SUM(F46:F47)</f>
        <v>88020000</v>
      </c>
    </row>
    <row r="46" spans="1:8" s="68" customFormat="1" ht="18.75" customHeight="1">
      <c r="A46" s="73">
        <v>261</v>
      </c>
      <c r="B46" s="74" t="s">
        <v>85</v>
      </c>
      <c r="C46" s="161">
        <v>63000000</v>
      </c>
      <c r="D46" s="160">
        <f t="shared" si="1"/>
        <v>25000000</v>
      </c>
      <c r="E46" s="75">
        <f t="shared" si="4"/>
        <v>0.39682539682539675</v>
      </c>
      <c r="F46" s="161">
        <f>63000000+25000000</f>
        <v>88000000</v>
      </c>
    </row>
    <row r="47" spans="1:8" s="68" customFormat="1" ht="18.75" customHeight="1">
      <c r="A47" s="73">
        <v>262</v>
      </c>
      <c r="B47" s="74" t="s">
        <v>86</v>
      </c>
      <c r="C47" s="161">
        <v>20000</v>
      </c>
      <c r="D47" s="160">
        <f t="shared" si="1"/>
        <v>0</v>
      </c>
      <c r="E47" s="75">
        <v>0</v>
      </c>
      <c r="F47" s="161">
        <f>20000</f>
        <v>20000</v>
      </c>
    </row>
    <row r="48" spans="1:8" s="37" customFormat="1" ht="21.95" customHeight="1">
      <c r="A48" s="21">
        <v>2700</v>
      </c>
      <c r="B48" s="22" t="s">
        <v>87</v>
      </c>
      <c r="C48" s="130">
        <v>4450000</v>
      </c>
      <c r="D48" s="130">
        <f t="shared" si="1"/>
        <v>20000</v>
      </c>
      <c r="E48" s="25">
        <f t="shared" si="4"/>
        <v>4.4943820224718767E-3</v>
      </c>
      <c r="F48" s="130">
        <f>SUM(F49:F53)</f>
        <v>4470000</v>
      </c>
    </row>
    <row r="49" spans="1:7" s="66" customFormat="1" ht="18.75" customHeight="1">
      <c r="A49" s="73">
        <v>271</v>
      </c>
      <c r="B49" s="74" t="s">
        <v>88</v>
      </c>
      <c r="C49" s="162">
        <v>2400000</v>
      </c>
      <c r="D49" s="160">
        <f t="shared" si="1"/>
        <v>0</v>
      </c>
      <c r="E49" s="75">
        <f t="shared" si="4"/>
        <v>0</v>
      </c>
      <c r="F49" s="160">
        <f>2400000</f>
        <v>2400000</v>
      </c>
    </row>
    <row r="50" spans="1:7" s="66" customFormat="1" ht="18.75" customHeight="1">
      <c r="A50" s="73">
        <v>272</v>
      </c>
      <c r="B50" s="74" t="s">
        <v>89</v>
      </c>
      <c r="C50" s="162">
        <v>2000000</v>
      </c>
      <c r="D50" s="160">
        <f t="shared" si="1"/>
        <v>0</v>
      </c>
      <c r="E50" s="75">
        <f t="shared" si="4"/>
        <v>0</v>
      </c>
      <c r="F50" s="160">
        <f>2000000</f>
        <v>2000000</v>
      </c>
    </row>
    <row r="51" spans="1:7" s="66" customFormat="1" ht="18.75" customHeight="1">
      <c r="A51" s="69">
        <v>273</v>
      </c>
      <c r="B51" s="70" t="s">
        <v>90</v>
      </c>
      <c r="C51" s="160">
        <v>0</v>
      </c>
      <c r="D51" s="160">
        <f t="shared" si="1"/>
        <v>0</v>
      </c>
      <c r="E51" s="75" t="s">
        <v>428</v>
      </c>
      <c r="F51" s="160">
        <v>0</v>
      </c>
    </row>
    <row r="52" spans="1:7" s="66" customFormat="1" ht="18.75" customHeight="1">
      <c r="A52" s="73">
        <v>274</v>
      </c>
      <c r="B52" s="74" t="s">
        <v>91</v>
      </c>
      <c r="C52" s="162">
        <v>50000</v>
      </c>
      <c r="D52" s="160">
        <f t="shared" si="1"/>
        <v>20000</v>
      </c>
      <c r="E52" s="75">
        <f t="shared" si="4"/>
        <v>0.39999999999999991</v>
      </c>
      <c r="F52" s="160">
        <f>50000+20000</f>
        <v>70000</v>
      </c>
      <c r="G52" s="68"/>
    </row>
    <row r="53" spans="1:7" s="66" customFormat="1" ht="12.75">
      <c r="A53" s="69">
        <v>275</v>
      </c>
      <c r="B53" s="70" t="s">
        <v>92</v>
      </c>
      <c r="C53" s="160">
        <v>0</v>
      </c>
      <c r="D53" s="160">
        <f t="shared" si="1"/>
        <v>0</v>
      </c>
      <c r="E53" s="75" t="s">
        <v>428</v>
      </c>
      <c r="F53" s="160">
        <v>0</v>
      </c>
    </row>
    <row r="54" spans="1:7" s="37" customFormat="1" ht="21.95" customHeight="1">
      <c r="A54" s="21">
        <v>2800</v>
      </c>
      <c r="B54" s="22" t="s">
        <v>93</v>
      </c>
      <c r="C54" s="130">
        <v>0</v>
      </c>
      <c r="D54" s="130">
        <f t="shared" si="1"/>
        <v>0</v>
      </c>
      <c r="E54" s="25" t="s">
        <v>428</v>
      </c>
      <c r="F54" s="130">
        <f>SUM(F55:F57)</f>
        <v>0</v>
      </c>
    </row>
    <row r="55" spans="1:7" s="66" customFormat="1" ht="12.75">
      <c r="A55" s="69">
        <v>281</v>
      </c>
      <c r="B55" s="70" t="s">
        <v>94</v>
      </c>
      <c r="C55" s="160">
        <v>0</v>
      </c>
      <c r="D55" s="160">
        <f t="shared" si="1"/>
        <v>0</v>
      </c>
      <c r="E55" s="75" t="s">
        <v>428</v>
      </c>
      <c r="F55" s="160">
        <v>0</v>
      </c>
    </row>
    <row r="56" spans="1:7" s="66" customFormat="1" ht="18.75" customHeight="1">
      <c r="A56" s="73">
        <v>282</v>
      </c>
      <c r="B56" s="74" t="s">
        <v>95</v>
      </c>
      <c r="C56" s="162">
        <v>0</v>
      </c>
      <c r="D56" s="161">
        <f t="shared" si="1"/>
        <v>0</v>
      </c>
      <c r="E56" s="75" t="s">
        <v>428</v>
      </c>
      <c r="F56" s="161">
        <v>0</v>
      </c>
    </row>
    <row r="57" spans="1:7" s="66" customFormat="1" ht="18.75" customHeight="1">
      <c r="A57" s="73">
        <v>283</v>
      </c>
      <c r="B57" s="74" t="s">
        <v>96</v>
      </c>
      <c r="C57" s="162">
        <v>0</v>
      </c>
      <c r="D57" s="161">
        <f t="shared" si="1"/>
        <v>0</v>
      </c>
      <c r="E57" s="75" t="s">
        <v>428</v>
      </c>
      <c r="F57" s="161">
        <v>0</v>
      </c>
    </row>
    <row r="58" spans="1:7" s="37" customFormat="1" ht="21.95" customHeight="1">
      <c r="A58" s="21">
        <v>2900</v>
      </c>
      <c r="B58" s="22" t="s">
        <v>97</v>
      </c>
      <c r="C58" s="130">
        <f>SUM(C59:C66)</f>
        <v>17647000</v>
      </c>
      <c r="D58" s="130">
        <f t="shared" si="1"/>
        <v>2520000</v>
      </c>
      <c r="E58" s="25">
        <f>F58/C58-1</f>
        <v>0.14280047600158663</v>
      </c>
      <c r="F58" s="130">
        <f>SUM(F59:F66)</f>
        <v>20167000</v>
      </c>
    </row>
    <row r="59" spans="1:7" s="66" customFormat="1" ht="18.75" customHeight="1">
      <c r="A59" s="69">
        <v>291</v>
      </c>
      <c r="B59" s="70" t="s">
        <v>98</v>
      </c>
      <c r="C59" s="160">
        <v>1500000</v>
      </c>
      <c r="D59" s="160">
        <f t="shared" si="1"/>
        <v>0</v>
      </c>
      <c r="E59" s="72">
        <f>F59/C59-1</f>
        <v>0</v>
      </c>
      <c r="F59" s="160">
        <v>1500000</v>
      </c>
    </row>
    <row r="60" spans="1:7" s="66" customFormat="1" ht="18.75" customHeight="1">
      <c r="A60" s="69">
        <v>292</v>
      </c>
      <c r="B60" s="70" t="s">
        <v>99</v>
      </c>
      <c r="C60" s="160">
        <v>35000</v>
      </c>
      <c r="D60" s="160">
        <f t="shared" si="1"/>
        <v>20000</v>
      </c>
      <c r="E60" s="72">
        <f>F60/C60-1</f>
        <v>0.5714285714285714</v>
      </c>
      <c r="F60" s="160">
        <f>35000+20000</f>
        <v>55000</v>
      </c>
      <c r="G60" s="68"/>
    </row>
    <row r="61" spans="1:7" s="66" customFormat="1" ht="18.75" customHeight="1">
      <c r="A61" s="69">
        <v>293</v>
      </c>
      <c r="B61" s="70" t="s">
        <v>100</v>
      </c>
      <c r="C61" s="160">
        <v>162000</v>
      </c>
      <c r="D61" s="160">
        <f t="shared" si="1"/>
        <v>0</v>
      </c>
      <c r="E61" s="72">
        <f t="shared" ref="E61:E67" si="5">F61/C61-1</f>
        <v>0</v>
      </c>
      <c r="F61" s="160">
        <v>162000</v>
      </c>
    </row>
    <row r="62" spans="1:7" s="66" customFormat="1" ht="18.75" customHeight="1">
      <c r="A62" s="69">
        <v>294</v>
      </c>
      <c r="B62" s="70" t="s">
        <v>101</v>
      </c>
      <c r="C62" s="160">
        <v>50000</v>
      </c>
      <c r="D62" s="160">
        <f t="shared" si="1"/>
        <v>0</v>
      </c>
      <c r="E62" s="72">
        <f t="shared" si="5"/>
        <v>0</v>
      </c>
      <c r="F62" s="160">
        <v>50000</v>
      </c>
    </row>
    <row r="63" spans="1:7" s="66" customFormat="1" ht="18.75" hidden="1" customHeight="1">
      <c r="A63" s="69">
        <v>295</v>
      </c>
      <c r="B63" s="70" t="s">
        <v>102</v>
      </c>
      <c r="C63" s="160">
        <v>0</v>
      </c>
      <c r="D63" s="160">
        <f t="shared" si="1"/>
        <v>0</v>
      </c>
      <c r="E63" s="72" t="e">
        <f t="shared" si="5"/>
        <v>#DIV/0!</v>
      </c>
      <c r="F63" s="160">
        <v>0</v>
      </c>
    </row>
    <row r="64" spans="1:7" s="66" customFormat="1" ht="18.75" customHeight="1">
      <c r="A64" s="69">
        <v>296</v>
      </c>
      <c r="B64" s="70" t="s">
        <v>103</v>
      </c>
      <c r="C64" s="160">
        <v>8000000</v>
      </c>
      <c r="D64" s="160">
        <f t="shared" si="1"/>
        <v>3500000</v>
      </c>
      <c r="E64" s="72">
        <f>F64/C64-1</f>
        <v>0.4375</v>
      </c>
      <c r="F64" s="160">
        <f>8000000+3500000</f>
        <v>11500000</v>
      </c>
    </row>
    <row r="65" spans="1:6" s="66" customFormat="1" ht="18.75" hidden="1" customHeight="1">
      <c r="A65" s="69">
        <v>297</v>
      </c>
      <c r="B65" s="70" t="s">
        <v>104</v>
      </c>
      <c r="C65" s="160">
        <v>0</v>
      </c>
      <c r="D65" s="160">
        <f t="shared" si="1"/>
        <v>0</v>
      </c>
      <c r="E65" s="72" t="e">
        <f t="shared" ref="E65:E66" si="6">F65/C65-1</f>
        <v>#DIV/0!</v>
      </c>
      <c r="F65" s="160">
        <v>0</v>
      </c>
    </row>
    <row r="66" spans="1:6" ht="18.75" customHeight="1">
      <c r="A66" s="69">
        <v>298</v>
      </c>
      <c r="B66" s="70" t="s">
        <v>105</v>
      </c>
      <c r="C66" s="160">
        <v>7900000</v>
      </c>
      <c r="D66" s="160">
        <f t="shared" si="1"/>
        <v>-1000000</v>
      </c>
      <c r="E66" s="72">
        <f t="shared" si="6"/>
        <v>-0.12658227848101267</v>
      </c>
      <c r="F66" s="160">
        <f>7900000-1000000</f>
        <v>6900000</v>
      </c>
    </row>
    <row r="67" spans="1:6" ht="18.75" hidden="1" customHeight="1">
      <c r="A67" s="69">
        <v>299</v>
      </c>
      <c r="B67" s="70" t="s">
        <v>106</v>
      </c>
      <c r="C67" s="71">
        <v>0</v>
      </c>
      <c r="D67" s="124"/>
      <c r="E67" s="72" t="e">
        <f t="shared" si="5"/>
        <v>#DIV/0!</v>
      </c>
      <c r="F67" s="124">
        <f>+C67+D67</f>
        <v>0</v>
      </c>
    </row>
  </sheetData>
  <sheetProtection selectLockedCells="1" selectUnlockedCells="1"/>
  <mergeCells count="6">
    <mergeCell ref="G33:H33"/>
    <mergeCell ref="F1:F2"/>
    <mergeCell ref="A1:A2"/>
    <mergeCell ref="B1:B2"/>
    <mergeCell ref="C1:C2"/>
    <mergeCell ref="D1:E1"/>
  </mergeCells>
  <phoneticPr fontId="5" type="noConversion"/>
  <dataValidations count="1">
    <dataValidation type="whole" errorStyle="warning" operator="greaterThan" allowBlank="1" showInputMessage="1" showErrorMessage="1" errorTitle="IMPORTANTE" error="Se recomienda leer las instrucciones antes de inciar con el llenado del presupuesto por objeto del gasto" sqref="B1:D1 F1">
      <formula1>0</formula1>
    </dataValidation>
  </dataValidations>
  <printOptions horizontalCentered="1"/>
  <pageMargins left="0" right="0" top="0" bottom="0" header="0" footer="0"/>
  <pageSetup scale="75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K87"/>
  <sheetViews>
    <sheetView showGridLines="0" zoomScaleSheetLayoutView="100" workbookViewId="0">
      <pane xSplit="1" ySplit="3" topLeftCell="B4" activePane="bottomRight" state="frozen"/>
      <selection activeCell="B73" sqref="B73:B86"/>
      <selection pane="topRight" activeCell="B73" sqref="B73:B86"/>
      <selection pane="bottomLeft" activeCell="B73" sqref="B73:B86"/>
      <selection pane="bottomRight" activeCell="D7" sqref="D7"/>
    </sheetView>
  </sheetViews>
  <sheetFormatPr baseColWidth="10" defaultColWidth="15.7109375" defaultRowHeight="15"/>
  <cols>
    <col min="1" max="1" width="10.5703125" style="2" customWidth="1"/>
    <col min="2" max="2" width="86.7109375" style="6" customWidth="1"/>
    <col min="3" max="3" width="8.42578125" style="7" hidden="1" customWidth="1"/>
    <col min="4" max="4" width="18.7109375" style="15" customWidth="1"/>
    <col min="5" max="5" width="15.7109375" style="17" customWidth="1"/>
    <col min="6" max="6" width="9.28515625" style="10" bestFit="1" customWidth="1"/>
    <col min="7" max="7" width="18.7109375" style="13" customWidth="1"/>
    <col min="8" max="8" width="46.42578125" style="193" customWidth="1"/>
    <col min="9" max="11" width="15.7109375" style="103"/>
    <col min="12" max="12" width="2.85546875" customWidth="1"/>
  </cols>
  <sheetData>
    <row r="1" spans="1:11" s="64" customFormat="1" ht="18.75" customHeight="1" thickBot="1">
      <c r="A1" s="242" t="s">
        <v>0</v>
      </c>
      <c r="B1" s="244" t="s">
        <v>1</v>
      </c>
      <c r="C1" s="254" t="s">
        <v>419</v>
      </c>
      <c r="D1" s="248" t="s">
        <v>429</v>
      </c>
      <c r="E1" s="250" t="s">
        <v>427</v>
      </c>
      <c r="F1" s="251"/>
      <c r="G1" s="252" t="s">
        <v>436</v>
      </c>
      <c r="H1" s="198"/>
      <c r="I1" s="108"/>
      <c r="J1" s="108"/>
      <c r="K1" s="108"/>
    </row>
    <row r="2" spans="1:11" s="64" customFormat="1" ht="18.75" customHeight="1" thickBot="1">
      <c r="A2" s="243"/>
      <c r="B2" s="245"/>
      <c r="C2" s="255"/>
      <c r="D2" s="249"/>
      <c r="E2" s="65" t="s">
        <v>420</v>
      </c>
      <c r="F2" s="171" t="s">
        <v>421</v>
      </c>
      <c r="G2" s="253"/>
      <c r="H2" s="198"/>
      <c r="I2" s="108"/>
      <c r="J2" s="108"/>
      <c r="K2" s="108"/>
    </row>
    <row r="3" spans="1:11" s="36" customFormat="1" ht="24.95" customHeight="1">
      <c r="A3" s="59">
        <v>3000</v>
      </c>
      <c r="B3" s="60" t="s">
        <v>107</v>
      </c>
      <c r="C3" s="61"/>
      <c r="D3" s="133">
        <f>D4+D14+D24+D34+D44+D54+D62+D72+D78</f>
        <v>606704191.00001001</v>
      </c>
      <c r="E3" s="133">
        <f>G3-D3</f>
        <v>-24920440</v>
      </c>
      <c r="F3" s="63">
        <f>G3/D3-1</f>
        <v>-4.1075107720822679E-2</v>
      </c>
      <c r="G3" s="133">
        <f>G4+G14+G24+G34+G44+G54+G62+G72+G78</f>
        <v>581783751.00001001</v>
      </c>
      <c r="H3" s="199"/>
      <c r="I3" s="109"/>
      <c r="J3" s="109"/>
      <c r="K3" s="109"/>
    </row>
    <row r="4" spans="1:11" s="37" customFormat="1" ht="21.95" customHeight="1">
      <c r="A4" s="21">
        <v>3100</v>
      </c>
      <c r="B4" s="22" t="s">
        <v>108</v>
      </c>
      <c r="C4" s="23"/>
      <c r="D4" s="130">
        <f>SUM(D5:D13)</f>
        <v>207863000</v>
      </c>
      <c r="E4" s="130">
        <f t="shared" ref="E4:E67" si="0">G4-D4</f>
        <v>12102979</v>
      </c>
      <c r="F4" s="25">
        <f>G4/D4-1</f>
        <v>5.8225749652415226E-2</v>
      </c>
      <c r="G4" s="130">
        <f>SUM(G5:G13)</f>
        <v>219965979</v>
      </c>
      <c r="H4" s="200"/>
      <c r="I4" s="110"/>
      <c r="J4" s="110"/>
      <c r="K4" s="110"/>
    </row>
    <row r="5" spans="1:11" s="38" customFormat="1" ht="18.75" customHeight="1">
      <c r="A5" s="26">
        <v>311</v>
      </c>
      <c r="B5" s="27" t="s">
        <v>109</v>
      </c>
      <c r="C5" s="28"/>
      <c r="D5" s="131">
        <v>180000000</v>
      </c>
      <c r="E5" s="134">
        <f>G5-D5</f>
        <v>0</v>
      </c>
      <c r="F5" s="30">
        <f>G5/D5-1</f>
        <v>0</v>
      </c>
      <c r="G5" s="131">
        <f>D5</f>
        <v>180000000</v>
      </c>
      <c r="H5" s="201"/>
      <c r="I5" s="111"/>
      <c r="J5" s="111"/>
      <c r="K5" s="111"/>
    </row>
    <row r="6" spans="1:11" s="38" customFormat="1" ht="18.75" customHeight="1">
      <c r="A6" s="26">
        <v>312</v>
      </c>
      <c r="B6" s="27" t="s">
        <v>110</v>
      </c>
      <c r="C6" s="28"/>
      <c r="D6" s="131">
        <v>650000</v>
      </c>
      <c r="E6" s="134">
        <f t="shared" ref="E6:E33" si="1">G6-D6</f>
        <v>150000</v>
      </c>
      <c r="F6" s="30">
        <f t="shared" ref="F6:F13" si="2">G6/D6-1</f>
        <v>0.23076923076923084</v>
      </c>
      <c r="G6" s="131">
        <f>650000+150000</f>
        <v>800000</v>
      </c>
      <c r="H6" s="201"/>
      <c r="I6" s="111"/>
      <c r="J6" s="111"/>
      <c r="K6" s="111"/>
    </row>
    <row r="7" spans="1:11" s="38" customFormat="1" ht="18.75" customHeight="1">
      <c r="A7" s="26">
        <v>313</v>
      </c>
      <c r="B7" s="27" t="s">
        <v>111</v>
      </c>
      <c r="C7" s="28"/>
      <c r="D7" s="131">
        <v>7300000</v>
      </c>
      <c r="E7" s="134">
        <f t="shared" si="1"/>
        <v>1750000</v>
      </c>
      <c r="F7" s="30">
        <f t="shared" si="2"/>
        <v>0.23972602739726034</v>
      </c>
      <c r="G7" s="131">
        <f>7300000+1750000</f>
        <v>9050000</v>
      </c>
      <c r="H7" s="201"/>
      <c r="I7" s="111"/>
      <c r="J7" s="111"/>
      <c r="K7" s="111"/>
    </row>
    <row r="8" spans="1:11" s="38" customFormat="1" ht="18.75" customHeight="1">
      <c r="A8" s="26">
        <v>314</v>
      </c>
      <c r="B8" s="27" t="s">
        <v>112</v>
      </c>
      <c r="C8" s="28"/>
      <c r="D8" s="131">
        <v>13800000</v>
      </c>
      <c r="E8" s="134">
        <f t="shared" si="1"/>
        <v>10000000</v>
      </c>
      <c r="F8" s="30">
        <f t="shared" si="2"/>
        <v>0.7246376811594204</v>
      </c>
      <c r="G8" s="131">
        <f>13800000+10000000</f>
        <v>23800000</v>
      </c>
      <c r="H8" s="201"/>
      <c r="I8" s="111"/>
      <c r="J8" s="111"/>
      <c r="K8" s="111"/>
    </row>
    <row r="9" spans="1:11" s="38" customFormat="1" ht="18.75" customHeight="1">
      <c r="A9" s="26">
        <v>315</v>
      </c>
      <c r="B9" s="27" t="s">
        <v>113</v>
      </c>
      <c r="C9" s="28"/>
      <c r="D9" s="131">
        <v>400000</v>
      </c>
      <c r="E9" s="134">
        <f t="shared" si="1"/>
        <v>0</v>
      </c>
      <c r="F9" s="30">
        <f t="shared" si="2"/>
        <v>0</v>
      </c>
      <c r="G9" s="131">
        <v>400000</v>
      </c>
      <c r="H9" s="201"/>
      <c r="I9" s="111"/>
      <c r="J9" s="111"/>
      <c r="K9" s="111"/>
    </row>
    <row r="10" spans="1:11" s="38" customFormat="1" ht="18.75" customHeight="1">
      <c r="A10" s="26">
        <v>316</v>
      </c>
      <c r="B10" s="27" t="s">
        <v>114</v>
      </c>
      <c r="C10" s="28"/>
      <c r="D10" s="134">
        <v>0</v>
      </c>
      <c r="E10" s="134">
        <f t="shared" si="1"/>
        <v>0</v>
      </c>
      <c r="F10" s="30" t="s">
        <v>428</v>
      </c>
      <c r="G10" s="134">
        <v>0</v>
      </c>
      <c r="H10" s="201"/>
      <c r="I10" s="111"/>
      <c r="J10" s="111"/>
      <c r="K10" s="111"/>
    </row>
    <row r="11" spans="1:11" s="38" customFormat="1" ht="18.75" customHeight="1">
      <c r="A11" s="26">
        <v>317</v>
      </c>
      <c r="B11" s="27" t="s">
        <v>115</v>
      </c>
      <c r="C11" s="28"/>
      <c r="D11" s="131">
        <v>1600000</v>
      </c>
      <c r="E11" s="134">
        <f t="shared" si="1"/>
        <v>452979</v>
      </c>
      <c r="F11" s="30">
        <f t="shared" si="2"/>
        <v>0.2831118749999999</v>
      </c>
      <c r="G11" s="131">
        <f>1600000+452979</f>
        <v>2052979</v>
      </c>
      <c r="H11" s="201"/>
      <c r="I11" s="111"/>
      <c r="J11" s="111"/>
      <c r="K11" s="111"/>
    </row>
    <row r="12" spans="1:11" s="38" customFormat="1" ht="18.75" customHeight="1">
      <c r="A12" s="26">
        <v>318</v>
      </c>
      <c r="B12" s="27" t="s">
        <v>116</v>
      </c>
      <c r="C12" s="28"/>
      <c r="D12" s="131">
        <v>1503000</v>
      </c>
      <c r="E12" s="134">
        <f t="shared" si="1"/>
        <v>-250000</v>
      </c>
      <c r="F12" s="30">
        <f t="shared" si="2"/>
        <v>-0.16633399866932796</v>
      </c>
      <c r="G12" s="131">
        <v>1253000</v>
      </c>
      <c r="H12" s="197"/>
      <c r="I12" s="111"/>
      <c r="J12" s="111"/>
      <c r="K12" s="111"/>
    </row>
    <row r="13" spans="1:11" s="38" customFormat="1" ht="18.75" customHeight="1">
      <c r="A13" s="26">
        <v>319</v>
      </c>
      <c r="B13" s="27" t="s">
        <v>117</v>
      </c>
      <c r="C13" s="28"/>
      <c r="D13" s="131">
        <v>2610000</v>
      </c>
      <c r="E13" s="134">
        <f t="shared" si="1"/>
        <v>0</v>
      </c>
      <c r="F13" s="30">
        <f t="shared" si="2"/>
        <v>0</v>
      </c>
      <c r="G13" s="131">
        <f>2610000</f>
        <v>2610000</v>
      </c>
      <c r="H13" s="201"/>
      <c r="I13" s="111"/>
      <c r="J13" s="111"/>
      <c r="K13" s="111"/>
    </row>
    <row r="14" spans="1:11" s="37" customFormat="1" ht="21.95" customHeight="1">
      <c r="A14" s="21">
        <v>3200</v>
      </c>
      <c r="B14" s="22" t="s">
        <v>118</v>
      </c>
      <c r="C14" s="23"/>
      <c r="D14" s="130">
        <f>SUM(D15:D23)</f>
        <v>140000000</v>
      </c>
      <c r="E14" s="130">
        <f t="shared" si="0"/>
        <v>-57008777</v>
      </c>
      <c r="F14" s="25">
        <f>G14/D14-1</f>
        <v>-0.40720555000000003</v>
      </c>
      <c r="G14" s="130">
        <f>SUM(G15:G23)</f>
        <v>82991223</v>
      </c>
      <c r="H14" s="200"/>
      <c r="I14" s="110"/>
      <c r="J14" s="110"/>
      <c r="K14" s="110"/>
    </row>
    <row r="15" spans="1:11" s="38" customFormat="1" ht="18.75" customHeight="1">
      <c r="A15" s="26">
        <v>321</v>
      </c>
      <c r="B15" s="27" t="s">
        <v>119</v>
      </c>
      <c r="C15" s="28"/>
      <c r="D15" s="131">
        <v>0</v>
      </c>
      <c r="E15" s="134">
        <f t="shared" si="1"/>
        <v>0</v>
      </c>
      <c r="F15" s="30" t="s">
        <v>428</v>
      </c>
      <c r="G15" s="131">
        <v>0</v>
      </c>
      <c r="H15" s="201"/>
      <c r="I15" s="111"/>
      <c r="J15" s="111"/>
      <c r="K15" s="111"/>
    </row>
    <row r="16" spans="1:11" s="38" customFormat="1" ht="18.75" customHeight="1">
      <c r="A16" s="26">
        <v>322</v>
      </c>
      <c r="B16" s="27" t="s">
        <v>120</v>
      </c>
      <c r="C16" s="28"/>
      <c r="D16" s="131">
        <v>6500000</v>
      </c>
      <c r="E16" s="134">
        <f t="shared" si="1"/>
        <v>3000000</v>
      </c>
      <c r="F16" s="30">
        <f t="shared" ref="F16:F23" si="3">G16/D16-1</f>
        <v>0.46153846153846145</v>
      </c>
      <c r="G16" s="131">
        <f>6500000+3000000</f>
        <v>9500000</v>
      </c>
      <c r="H16" s="201"/>
      <c r="I16" s="111"/>
      <c r="J16" s="111"/>
      <c r="K16" s="111"/>
    </row>
    <row r="17" spans="1:11" s="38" customFormat="1" ht="18.75" customHeight="1">
      <c r="A17" s="26">
        <v>323</v>
      </c>
      <c r="B17" s="27" t="s">
        <v>121</v>
      </c>
      <c r="C17" s="28"/>
      <c r="D17" s="131">
        <v>69000000</v>
      </c>
      <c r="E17" s="134">
        <f t="shared" si="1"/>
        <v>-20000000</v>
      </c>
      <c r="F17" s="30">
        <f t="shared" si="3"/>
        <v>-0.28985507246376807</v>
      </c>
      <c r="G17" s="131">
        <f>49000000</f>
        <v>49000000</v>
      </c>
      <c r="H17" s="201"/>
      <c r="I17" s="111"/>
      <c r="J17" s="111"/>
      <c r="K17" s="111"/>
    </row>
    <row r="18" spans="1:11" s="38" customFormat="1" ht="18.75" customHeight="1">
      <c r="A18" s="26">
        <v>324</v>
      </c>
      <c r="B18" s="27" t="s">
        <v>122</v>
      </c>
      <c r="C18" s="28"/>
      <c r="D18" s="131">
        <v>0</v>
      </c>
      <c r="E18" s="134">
        <f t="shared" si="1"/>
        <v>0</v>
      </c>
      <c r="F18" s="30" t="s">
        <v>428</v>
      </c>
      <c r="G18" s="131">
        <v>0</v>
      </c>
      <c r="H18" s="201"/>
      <c r="I18" s="111"/>
      <c r="J18" s="111"/>
      <c r="K18" s="111"/>
    </row>
    <row r="19" spans="1:11" s="38" customFormat="1" ht="18.75" customHeight="1">
      <c r="A19" s="26">
        <v>325</v>
      </c>
      <c r="B19" s="27" t="s">
        <v>123</v>
      </c>
      <c r="C19" s="28"/>
      <c r="D19" s="131">
        <v>42500000</v>
      </c>
      <c r="E19" s="134">
        <f t="shared" si="1"/>
        <v>-27008777</v>
      </c>
      <c r="F19" s="30">
        <f t="shared" si="3"/>
        <v>-0.63550063529411771</v>
      </c>
      <c r="G19" s="131">
        <f>D19-20448355-2000000-3981195-579227</f>
        <v>15491223</v>
      </c>
      <c r="H19" s="201"/>
      <c r="I19" s="111"/>
      <c r="J19" s="111"/>
      <c r="K19" s="111"/>
    </row>
    <row r="20" spans="1:11" s="38" customFormat="1" ht="18.75" customHeight="1">
      <c r="A20" s="26">
        <v>326</v>
      </c>
      <c r="B20" s="27" t="s">
        <v>124</v>
      </c>
      <c r="C20" s="28"/>
      <c r="D20" s="131">
        <v>20000000</v>
      </c>
      <c r="E20" s="134">
        <f t="shared" si="1"/>
        <v>-13000000</v>
      </c>
      <c r="F20" s="30">
        <f t="shared" si="3"/>
        <v>-0.65</v>
      </c>
      <c r="G20" s="131">
        <f>20000000-4000000-5000000-4000000</f>
        <v>7000000</v>
      </c>
      <c r="H20" s="201"/>
      <c r="I20" s="111"/>
      <c r="J20" s="111"/>
      <c r="K20" s="111"/>
    </row>
    <row r="21" spans="1:11" s="38" customFormat="1" ht="18.75" customHeight="1">
      <c r="A21" s="26">
        <v>327</v>
      </c>
      <c r="B21" s="27" t="s">
        <v>125</v>
      </c>
      <c r="C21" s="28"/>
      <c r="D21" s="131">
        <v>0</v>
      </c>
      <c r="E21" s="134">
        <f t="shared" si="1"/>
        <v>0</v>
      </c>
      <c r="F21" s="30" t="s">
        <v>428</v>
      </c>
      <c r="G21" s="131">
        <v>0</v>
      </c>
      <c r="H21" s="201"/>
      <c r="I21" s="111"/>
      <c r="J21" s="111"/>
      <c r="K21" s="111"/>
    </row>
    <row r="22" spans="1:11" s="38" customFormat="1" ht="18.75" customHeight="1">
      <c r="A22" s="26">
        <v>328</v>
      </c>
      <c r="B22" s="27" t="s">
        <v>126</v>
      </c>
      <c r="C22" s="28"/>
      <c r="D22" s="131">
        <v>0</v>
      </c>
      <c r="E22" s="134">
        <f t="shared" si="1"/>
        <v>0</v>
      </c>
      <c r="F22" s="30" t="s">
        <v>428</v>
      </c>
      <c r="G22" s="131">
        <v>0</v>
      </c>
      <c r="H22" s="201"/>
      <c r="I22" s="111"/>
      <c r="J22" s="111"/>
      <c r="K22" s="111"/>
    </row>
    <row r="23" spans="1:11" s="38" customFormat="1" ht="18.75" customHeight="1">
      <c r="A23" s="26">
        <v>329</v>
      </c>
      <c r="B23" s="27" t="s">
        <v>127</v>
      </c>
      <c r="C23" s="28"/>
      <c r="D23" s="131">
        <v>2000000</v>
      </c>
      <c r="E23" s="134">
        <f t="shared" si="1"/>
        <v>0</v>
      </c>
      <c r="F23" s="30">
        <f t="shared" si="3"/>
        <v>0</v>
      </c>
      <c r="G23" s="131">
        <f>2000000</f>
        <v>2000000</v>
      </c>
      <c r="H23" s="201"/>
      <c r="I23" s="111"/>
      <c r="J23" s="111"/>
      <c r="K23" s="111"/>
    </row>
    <row r="24" spans="1:11" s="37" customFormat="1" ht="21.95" customHeight="1">
      <c r="A24" s="21">
        <v>3300</v>
      </c>
      <c r="B24" s="22" t="s">
        <v>128</v>
      </c>
      <c r="C24" s="23"/>
      <c r="D24" s="130">
        <f>SUM(D25:D33)</f>
        <v>44180490.000009999</v>
      </c>
      <c r="E24" s="130">
        <f t="shared" si="0"/>
        <v>8351200</v>
      </c>
      <c r="F24" s="25">
        <f t="shared" ref="F24:F31" si="4">G24/D24-1</f>
        <v>0.18902461244766888</v>
      </c>
      <c r="G24" s="130">
        <f>SUM(G25:G33)</f>
        <v>52531690.000009999</v>
      </c>
      <c r="H24" s="200"/>
      <c r="I24" s="110"/>
      <c r="J24" s="110"/>
      <c r="K24" s="110"/>
    </row>
    <row r="25" spans="1:11" s="38" customFormat="1" ht="26.25" customHeight="1">
      <c r="A25" s="26">
        <v>331</v>
      </c>
      <c r="B25" s="27" t="s">
        <v>129</v>
      </c>
      <c r="C25" s="28"/>
      <c r="D25" s="131">
        <v>10000000</v>
      </c>
      <c r="E25" s="134">
        <f t="shared" si="1"/>
        <v>9388000</v>
      </c>
      <c r="F25" s="30">
        <f t="shared" si="4"/>
        <v>0.93880000000000008</v>
      </c>
      <c r="G25" s="131">
        <f>D25+9388000</f>
        <v>19388000</v>
      </c>
      <c r="H25" s="201"/>
      <c r="I25" s="111"/>
      <c r="J25" s="111"/>
      <c r="K25" s="111"/>
    </row>
    <row r="26" spans="1:11" s="38" customFormat="1" ht="18.75" customHeight="1">
      <c r="A26" s="26">
        <v>332</v>
      </c>
      <c r="B26" s="27" t="s">
        <v>130</v>
      </c>
      <c r="C26" s="28"/>
      <c r="D26" s="131">
        <v>6700000</v>
      </c>
      <c r="E26" s="134">
        <f t="shared" si="1"/>
        <v>-3000000</v>
      </c>
      <c r="F26" s="30">
        <f t="shared" si="4"/>
        <v>-0.44776119402985071</v>
      </c>
      <c r="G26" s="131">
        <f>6700000-3000000</f>
        <v>3700000</v>
      </c>
      <c r="H26" s="201"/>
      <c r="I26" s="111"/>
      <c r="J26" s="111"/>
      <c r="K26" s="111"/>
    </row>
    <row r="27" spans="1:11" s="38" customFormat="1" ht="29.25" customHeight="1">
      <c r="A27" s="26">
        <v>333</v>
      </c>
      <c r="B27" s="27" t="s">
        <v>131</v>
      </c>
      <c r="C27" s="28"/>
      <c r="D27" s="131">
        <v>5000000</v>
      </c>
      <c r="E27" s="134">
        <f t="shared" si="1"/>
        <v>1989000</v>
      </c>
      <c r="F27" s="30">
        <f t="shared" si="4"/>
        <v>0.39779999999999993</v>
      </c>
      <c r="G27" s="131">
        <f>D27+2815200-826200</f>
        <v>6989000</v>
      </c>
      <c r="H27" s="201"/>
      <c r="I27" s="111"/>
      <c r="J27" s="111"/>
      <c r="K27" s="111"/>
    </row>
    <row r="28" spans="1:11" s="38" customFormat="1" ht="37.5" customHeight="1">
      <c r="A28" s="26">
        <v>334</v>
      </c>
      <c r="B28" s="27" t="s">
        <v>132</v>
      </c>
      <c r="C28" s="28"/>
      <c r="D28" s="131">
        <v>1250000</v>
      </c>
      <c r="E28" s="134">
        <f t="shared" si="1"/>
        <v>2786200</v>
      </c>
      <c r="F28" s="30">
        <f t="shared" si="4"/>
        <v>2.2289599999999998</v>
      </c>
      <c r="G28" s="131">
        <f>1250000+3221600-435400</f>
        <v>4036200</v>
      </c>
      <c r="H28" s="201"/>
      <c r="I28" s="111"/>
      <c r="J28" s="111"/>
      <c r="K28" s="111"/>
    </row>
    <row r="29" spans="1:11" s="38" customFormat="1" ht="18.75" customHeight="1">
      <c r="A29" s="26">
        <v>335</v>
      </c>
      <c r="B29" s="27" t="s">
        <v>133</v>
      </c>
      <c r="C29" s="28"/>
      <c r="D29" s="131">
        <v>1750000</v>
      </c>
      <c r="E29" s="134">
        <f t="shared" si="1"/>
        <v>-1750000</v>
      </c>
      <c r="F29" s="30">
        <f t="shared" si="4"/>
        <v>-1</v>
      </c>
      <c r="G29" s="131">
        <f>1750000-1750000</f>
        <v>0</v>
      </c>
      <c r="H29" s="201"/>
      <c r="I29" s="111"/>
      <c r="J29" s="111"/>
      <c r="K29" s="111"/>
    </row>
    <row r="30" spans="1:11" s="38" customFormat="1" ht="23.25" customHeight="1">
      <c r="A30" s="26">
        <v>336</v>
      </c>
      <c r="B30" s="27" t="s">
        <v>134</v>
      </c>
      <c r="C30" s="28"/>
      <c r="D30" s="131">
        <v>8000000</v>
      </c>
      <c r="E30" s="134">
        <f t="shared" si="1"/>
        <v>0</v>
      </c>
      <c r="F30" s="30">
        <f t="shared" si="4"/>
        <v>0</v>
      </c>
      <c r="G30" s="131">
        <f>8000000</f>
        <v>8000000</v>
      </c>
      <c r="H30" s="201"/>
      <c r="I30" s="111"/>
      <c r="J30" s="111"/>
      <c r="K30" s="111"/>
    </row>
    <row r="31" spans="1:11" s="38" customFormat="1" ht="18.75" customHeight="1">
      <c r="A31" s="26">
        <v>337</v>
      </c>
      <c r="B31" s="27" t="s">
        <v>135</v>
      </c>
      <c r="C31" s="28"/>
      <c r="D31" s="131">
        <v>5000000.0000099996</v>
      </c>
      <c r="E31" s="134">
        <f t="shared" si="1"/>
        <v>-4700000</v>
      </c>
      <c r="F31" s="30">
        <f t="shared" si="4"/>
        <v>-0.93999999999812012</v>
      </c>
      <c r="G31" s="131">
        <f>5000000.00001-4700000</f>
        <v>300000.00000999961</v>
      </c>
      <c r="H31" s="201"/>
      <c r="I31" s="111"/>
      <c r="J31" s="111"/>
      <c r="K31" s="111"/>
    </row>
    <row r="32" spans="1:11" s="38" customFormat="1" ht="18.75" customHeight="1">
      <c r="A32" s="26">
        <v>338</v>
      </c>
      <c r="B32" s="27" t="s">
        <v>136</v>
      </c>
      <c r="C32" s="28"/>
      <c r="D32" s="131">
        <v>0</v>
      </c>
      <c r="E32" s="134">
        <f t="shared" si="1"/>
        <v>0</v>
      </c>
      <c r="F32" s="30" t="s">
        <v>428</v>
      </c>
      <c r="G32" s="131">
        <v>0</v>
      </c>
      <c r="H32" s="201"/>
      <c r="I32" s="111"/>
      <c r="J32" s="111"/>
      <c r="K32" s="111"/>
    </row>
    <row r="33" spans="1:11" s="38" customFormat="1" ht="44.25" customHeight="1">
      <c r="A33" s="26">
        <v>339</v>
      </c>
      <c r="B33" s="27" t="s">
        <v>137</v>
      </c>
      <c r="C33" s="28"/>
      <c r="D33" s="131">
        <v>6480490</v>
      </c>
      <c r="E33" s="134">
        <f t="shared" si="1"/>
        <v>3638000</v>
      </c>
      <c r="F33" s="30">
        <f t="shared" ref="F33:F39" si="5">G33/D33-1</f>
        <v>0.56137730325947577</v>
      </c>
      <c r="G33" s="131">
        <f>6480490+3889500-251500</f>
        <v>10118490</v>
      </c>
      <c r="H33" s="201"/>
      <c r="I33" s="111"/>
      <c r="J33" s="111"/>
      <c r="K33" s="111"/>
    </row>
    <row r="34" spans="1:11" s="37" customFormat="1" ht="21.95" customHeight="1">
      <c r="A34" s="21">
        <v>3400</v>
      </c>
      <c r="B34" s="22" t="s">
        <v>138</v>
      </c>
      <c r="C34" s="23"/>
      <c r="D34" s="130">
        <f>SUM(D35:D43)</f>
        <v>31088445</v>
      </c>
      <c r="E34" s="130">
        <f t="shared" si="0"/>
        <v>84158</v>
      </c>
      <c r="F34" s="25">
        <f t="shared" si="5"/>
        <v>2.7070508029591878E-3</v>
      </c>
      <c r="G34" s="130">
        <f>SUM(G35:G43)</f>
        <v>31172603</v>
      </c>
      <c r="H34" s="200"/>
      <c r="I34" s="110"/>
      <c r="J34" s="110"/>
      <c r="K34" s="110"/>
    </row>
    <row r="35" spans="1:11" s="38" customFormat="1" ht="27" customHeight="1">
      <c r="A35" s="26">
        <v>341</v>
      </c>
      <c r="B35" s="27" t="s">
        <v>139</v>
      </c>
      <c r="C35" s="28"/>
      <c r="D35" s="131">
        <v>6400000</v>
      </c>
      <c r="E35" s="135">
        <f t="shared" si="0"/>
        <v>0</v>
      </c>
      <c r="F35" s="30">
        <f t="shared" si="5"/>
        <v>0</v>
      </c>
      <c r="G35" s="131">
        <f>6400000</f>
        <v>6400000</v>
      </c>
      <c r="H35" s="201"/>
      <c r="I35" s="111"/>
      <c r="J35" s="111"/>
      <c r="K35" s="111"/>
    </row>
    <row r="36" spans="1:11" s="38" customFormat="1" ht="18.75" customHeight="1">
      <c r="A36" s="26">
        <v>342</v>
      </c>
      <c r="B36" s="27" t="s">
        <v>140</v>
      </c>
      <c r="C36" s="28"/>
      <c r="D36" s="131">
        <v>0</v>
      </c>
      <c r="E36" s="135">
        <f t="shared" si="0"/>
        <v>84158</v>
      </c>
      <c r="F36" s="30" t="s">
        <v>428</v>
      </c>
      <c r="G36" s="131">
        <v>84158</v>
      </c>
      <c r="H36" s="193"/>
      <c r="I36" s="111"/>
      <c r="J36" s="111"/>
      <c r="K36" s="111"/>
    </row>
    <row r="37" spans="1:11" s="38" customFormat="1" ht="18.75" customHeight="1">
      <c r="A37" s="26">
        <v>343</v>
      </c>
      <c r="B37" s="27" t="s">
        <v>141</v>
      </c>
      <c r="C37" s="28"/>
      <c r="D37" s="131">
        <v>225000</v>
      </c>
      <c r="E37" s="135">
        <f t="shared" si="0"/>
        <v>0</v>
      </c>
      <c r="F37" s="30">
        <f t="shared" si="5"/>
        <v>0</v>
      </c>
      <c r="G37" s="131">
        <f>225000</f>
        <v>225000</v>
      </c>
      <c r="H37" s="201"/>
      <c r="I37" s="111"/>
      <c r="J37" s="111"/>
      <c r="K37" s="111"/>
    </row>
    <row r="38" spans="1:11" s="38" customFormat="1" ht="18.75" customHeight="1">
      <c r="A38" s="26">
        <v>344</v>
      </c>
      <c r="B38" s="27" t="s">
        <v>142</v>
      </c>
      <c r="C38" s="28"/>
      <c r="D38" s="131">
        <v>343445</v>
      </c>
      <c r="E38" s="135">
        <f t="shared" si="0"/>
        <v>0</v>
      </c>
      <c r="F38" s="30">
        <f t="shared" si="5"/>
        <v>0</v>
      </c>
      <c r="G38" s="131">
        <v>343445</v>
      </c>
      <c r="H38" s="201"/>
      <c r="I38" s="111"/>
      <c r="J38" s="111"/>
      <c r="K38" s="111"/>
    </row>
    <row r="39" spans="1:11" s="38" customFormat="1" ht="18.75" customHeight="1">
      <c r="A39" s="26">
        <v>345</v>
      </c>
      <c r="B39" s="27" t="s">
        <v>143</v>
      </c>
      <c r="C39" s="28"/>
      <c r="D39" s="131">
        <v>24100000</v>
      </c>
      <c r="E39" s="134">
        <f t="shared" si="0"/>
        <v>0</v>
      </c>
      <c r="F39" s="30">
        <f t="shared" si="5"/>
        <v>0</v>
      </c>
      <c r="G39" s="131">
        <v>24100000</v>
      </c>
      <c r="H39" s="201"/>
      <c r="I39" s="111"/>
      <c r="J39" s="111"/>
      <c r="K39" s="111"/>
    </row>
    <row r="40" spans="1:11" s="38" customFormat="1" ht="18.75" customHeight="1">
      <c r="A40" s="26">
        <v>346</v>
      </c>
      <c r="B40" s="27" t="s">
        <v>144</v>
      </c>
      <c r="C40" s="28"/>
      <c r="D40" s="131">
        <v>0</v>
      </c>
      <c r="E40" s="134">
        <f t="shared" si="0"/>
        <v>0</v>
      </c>
      <c r="F40" s="30" t="s">
        <v>428</v>
      </c>
      <c r="G40" s="131">
        <v>0</v>
      </c>
      <c r="H40" s="201"/>
      <c r="I40" s="111"/>
      <c r="J40" s="111"/>
      <c r="K40" s="111"/>
    </row>
    <row r="41" spans="1:11" s="38" customFormat="1" ht="18.75" customHeight="1">
      <c r="A41" s="26">
        <v>347</v>
      </c>
      <c r="B41" s="27" t="s">
        <v>145</v>
      </c>
      <c r="C41" s="28"/>
      <c r="D41" s="131">
        <v>20000</v>
      </c>
      <c r="E41" s="134">
        <f t="shared" si="0"/>
        <v>0</v>
      </c>
      <c r="F41" s="30">
        <f>G41/D41-1</f>
        <v>0</v>
      </c>
      <c r="G41" s="131">
        <v>20000</v>
      </c>
      <c r="H41" s="201"/>
      <c r="I41" s="111"/>
      <c r="J41" s="111"/>
      <c r="K41" s="111"/>
    </row>
    <row r="42" spans="1:11" s="38" customFormat="1" ht="18.75" customHeight="1">
      <c r="A42" s="26">
        <v>348</v>
      </c>
      <c r="B42" s="27" t="s">
        <v>146</v>
      </c>
      <c r="C42" s="28"/>
      <c r="D42" s="131">
        <v>0</v>
      </c>
      <c r="E42" s="134">
        <f t="shared" si="0"/>
        <v>0</v>
      </c>
      <c r="F42" s="30" t="s">
        <v>428</v>
      </c>
      <c r="G42" s="131">
        <v>0</v>
      </c>
      <c r="H42" s="201"/>
      <c r="I42" s="111"/>
      <c r="J42" s="111"/>
      <c r="K42" s="111"/>
    </row>
    <row r="43" spans="1:11" s="38" customFormat="1" ht="18.75" customHeight="1">
      <c r="A43" s="26">
        <v>349</v>
      </c>
      <c r="B43" s="27" t="s">
        <v>147</v>
      </c>
      <c r="C43" s="28"/>
      <c r="D43" s="131">
        <v>0</v>
      </c>
      <c r="E43" s="134">
        <f t="shared" si="0"/>
        <v>0</v>
      </c>
      <c r="F43" s="30" t="s">
        <v>428</v>
      </c>
      <c r="G43" s="131">
        <v>0</v>
      </c>
      <c r="H43" s="201"/>
      <c r="I43" s="111"/>
      <c r="J43" s="111"/>
      <c r="K43" s="111"/>
    </row>
    <row r="44" spans="1:11" s="37" customFormat="1" ht="21.95" customHeight="1">
      <c r="A44" s="21">
        <v>3500</v>
      </c>
      <c r="B44" s="22" t="s">
        <v>148</v>
      </c>
      <c r="C44" s="23"/>
      <c r="D44" s="130">
        <f>SUM(D45:D53)</f>
        <v>60917256</v>
      </c>
      <c r="E44" s="130">
        <f t="shared" si="0"/>
        <v>-1950000</v>
      </c>
      <c r="F44" s="25">
        <f t="shared" ref="F44:F49" si="6">G44/D44-1</f>
        <v>-3.2010634228173407E-2</v>
      </c>
      <c r="G44" s="130">
        <f>SUM(G45:G53)</f>
        <v>58967256</v>
      </c>
      <c r="H44" s="200"/>
      <c r="I44" s="110"/>
      <c r="J44" s="110"/>
      <c r="K44" s="110"/>
    </row>
    <row r="45" spans="1:11" s="38" customFormat="1" ht="18.75" customHeight="1">
      <c r="A45" s="26">
        <v>351</v>
      </c>
      <c r="B45" s="27" t="s">
        <v>149</v>
      </c>
      <c r="C45" s="28"/>
      <c r="D45" s="131">
        <v>4000000</v>
      </c>
      <c r="E45" s="134">
        <f t="shared" si="0"/>
        <v>0</v>
      </c>
      <c r="F45" s="30">
        <f t="shared" si="6"/>
        <v>0</v>
      </c>
      <c r="G45" s="131">
        <v>4000000</v>
      </c>
      <c r="H45" s="201"/>
      <c r="I45" s="111"/>
      <c r="J45" s="111"/>
      <c r="K45" s="111"/>
    </row>
    <row r="46" spans="1:11" s="38" customFormat="1" ht="27.75" customHeight="1">
      <c r="A46" s="26">
        <v>352</v>
      </c>
      <c r="B46" s="31" t="s">
        <v>150</v>
      </c>
      <c r="C46" s="28"/>
      <c r="D46" s="131">
        <v>1315111</v>
      </c>
      <c r="E46" s="134">
        <f t="shared" si="0"/>
        <v>-250000</v>
      </c>
      <c r="F46" s="30">
        <f t="shared" si="6"/>
        <v>-0.1900980221441384</v>
      </c>
      <c r="G46" s="131">
        <v>1065111</v>
      </c>
      <c r="H46" s="201"/>
      <c r="I46" s="111"/>
      <c r="J46" s="111"/>
      <c r="K46" s="111"/>
    </row>
    <row r="47" spans="1:11" s="38" customFormat="1" ht="18.75" customHeight="1">
      <c r="A47" s="26">
        <v>353</v>
      </c>
      <c r="B47" s="27" t="s">
        <v>151</v>
      </c>
      <c r="C47" s="28"/>
      <c r="D47" s="131">
        <v>4822145</v>
      </c>
      <c r="E47" s="134">
        <f t="shared" si="0"/>
        <v>-2000000</v>
      </c>
      <c r="F47" s="30">
        <f t="shared" si="6"/>
        <v>-0.4147531855636859</v>
      </c>
      <c r="G47" s="131">
        <f>4822145-2000000</f>
        <v>2822145</v>
      </c>
      <c r="H47" s="201"/>
      <c r="I47" s="111"/>
      <c r="J47" s="111"/>
      <c r="K47" s="111"/>
    </row>
    <row r="48" spans="1:11" s="38" customFormat="1" ht="18.75" customHeight="1">
      <c r="A48" s="26">
        <v>354</v>
      </c>
      <c r="B48" s="27" t="s">
        <v>152</v>
      </c>
      <c r="C48" s="28"/>
      <c r="D48" s="131">
        <v>0</v>
      </c>
      <c r="E48" s="134">
        <f t="shared" si="0"/>
        <v>0</v>
      </c>
      <c r="F48" s="30" t="s">
        <v>428</v>
      </c>
      <c r="G48" s="131">
        <v>0</v>
      </c>
      <c r="H48" s="201"/>
      <c r="I48" s="111"/>
      <c r="J48" s="111"/>
      <c r="K48" s="111"/>
    </row>
    <row r="49" spans="1:11" s="38" customFormat="1" ht="18.75" customHeight="1">
      <c r="A49" s="26">
        <v>355</v>
      </c>
      <c r="B49" s="27" t="s">
        <v>153</v>
      </c>
      <c r="C49" s="28"/>
      <c r="D49" s="131">
        <v>21700000</v>
      </c>
      <c r="E49" s="134">
        <f t="shared" si="0"/>
        <v>-3500000</v>
      </c>
      <c r="F49" s="30">
        <f t="shared" si="6"/>
        <v>-0.16129032258064513</v>
      </c>
      <c r="G49" s="131">
        <f>21700000-3500000</f>
        <v>18200000</v>
      </c>
      <c r="H49" s="201"/>
      <c r="I49" s="111"/>
      <c r="J49" s="111"/>
      <c r="K49" s="111"/>
    </row>
    <row r="50" spans="1:11" s="38" customFormat="1" ht="18.75" customHeight="1">
      <c r="A50" s="26">
        <v>356</v>
      </c>
      <c r="B50" s="27" t="s">
        <v>154</v>
      </c>
      <c r="C50" s="28"/>
      <c r="D50" s="131">
        <v>0</v>
      </c>
      <c r="E50" s="134">
        <f t="shared" si="0"/>
        <v>0</v>
      </c>
      <c r="F50" s="30" t="s">
        <v>428</v>
      </c>
      <c r="G50" s="131">
        <v>0</v>
      </c>
      <c r="H50" s="201"/>
      <c r="I50" s="111"/>
      <c r="J50" s="111"/>
      <c r="K50" s="111"/>
    </row>
    <row r="51" spans="1:11" s="38" customFormat="1" ht="33.75" customHeight="1">
      <c r="A51" s="26">
        <v>357</v>
      </c>
      <c r="B51" s="27" t="s">
        <v>155</v>
      </c>
      <c r="C51" s="28"/>
      <c r="D51" s="131">
        <v>21000000</v>
      </c>
      <c r="E51" s="134">
        <f t="shared" si="0"/>
        <v>3800000</v>
      </c>
      <c r="F51" s="30">
        <f t="shared" ref="F51:F60" si="7">G51/D51-1</f>
        <v>0.18095238095238098</v>
      </c>
      <c r="G51" s="131">
        <f>D51-3700000+7500000</f>
        <v>24800000</v>
      </c>
      <c r="H51" s="201"/>
      <c r="I51" s="187"/>
      <c r="J51" s="111"/>
      <c r="K51" s="111"/>
    </row>
    <row r="52" spans="1:11" s="38" customFormat="1" ht="18.75" customHeight="1">
      <c r="A52" s="26">
        <v>358</v>
      </c>
      <c r="B52" s="27" t="s">
        <v>156</v>
      </c>
      <c r="C52" s="28"/>
      <c r="D52" s="131">
        <v>5980000</v>
      </c>
      <c r="E52" s="134">
        <f t="shared" si="0"/>
        <v>0</v>
      </c>
      <c r="F52" s="30">
        <f t="shared" si="7"/>
        <v>0</v>
      </c>
      <c r="G52" s="131">
        <f>D52</f>
        <v>5980000</v>
      </c>
      <c r="H52" s="201"/>
      <c r="I52" s="111"/>
      <c r="J52" s="111"/>
      <c r="K52" s="111"/>
    </row>
    <row r="53" spans="1:11" s="38" customFormat="1" ht="18.75" customHeight="1">
      <c r="A53" s="26">
        <v>359</v>
      </c>
      <c r="B53" s="27" t="s">
        <v>157</v>
      </c>
      <c r="C53" s="28"/>
      <c r="D53" s="131">
        <v>2100000</v>
      </c>
      <c r="E53" s="134">
        <f t="shared" si="0"/>
        <v>0</v>
      </c>
      <c r="F53" s="30">
        <f t="shared" si="7"/>
        <v>0</v>
      </c>
      <c r="G53" s="131">
        <f>D53</f>
        <v>2100000</v>
      </c>
      <c r="H53" s="201"/>
      <c r="I53" s="111"/>
      <c r="J53" s="111"/>
      <c r="K53" s="111"/>
    </row>
    <row r="54" spans="1:11" s="37" customFormat="1" ht="21.95" customHeight="1">
      <c r="A54" s="21">
        <v>3600</v>
      </c>
      <c r="B54" s="22" t="s">
        <v>158</v>
      </c>
      <c r="C54" s="23"/>
      <c r="D54" s="130">
        <f>SUM(D55:D61)</f>
        <v>95300000</v>
      </c>
      <c r="E54" s="130">
        <f t="shared" si="0"/>
        <v>0</v>
      </c>
      <c r="F54" s="25">
        <f t="shared" si="7"/>
        <v>0</v>
      </c>
      <c r="G54" s="130">
        <f>SUM(G55:G61)</f>
        <v>95300000</v>
      </c>
      <c r="H54" s="200"/>
      <c r="I54" s="110"/>
      <c r="J54" s="110"/>
      <c r="K54" s="110"/>
    </row>
    <row r="55" spans="1:11" s="38" customFormat="1" ht="30" customHeight="1">
      <c r="A55" s="26">
        <v>361</v>
      </c>
      <c r="B55" s="27" t="s">
        <v>159</v>
      </c>
      <c r="C55" s="28"/>
      <c r="D55" s="131">
        <v>80000000</v>
      </c>
      <c r="E55" s="134">
        <f t="shared" si="0"/>
        <v>0</v>
      </c>
      <c r="F55" s="30">
        <f t="shared" si="7"/>
        <v>0</v>
      </c>
      <c r="G55" s="131">
        <f>D55</f>
        <v>80000000</v>
      </c>
      <c r="H55" s="197"/>
      <c r="I55" s="112"/>
      <c r="J55" s="112"/>
      <c r="K55" s="112"/>
    </row>
    <row r="56" spans="1:11" s="38" customFormat="1" ht="18.75" customHeight="1">
      <c r="A56" s="26">
        <v>362</v>
      </c>
      <c r="B56" s="27" t="s">
        <v>160</v>
      </c>
      <c r="C56" s="28"/>
      <c r="D56" s="131">
        <v>4500000</v>
      </c>
      <c r="E56" s="134">
        <f t="shared" si="0"/>
        <v>0</v>
      </c>
      <c r="F56" s="30">
        <f t="shared" si="7"/>
        <v>0</v>
      </c>
      <c r="G56" s="131">
        <f t="shared" ref="G56:G77" si="8">D56</f>
        <v>4500000</v>
      </c>
      <c r="H56" s="197"/>
      <c r="I56" s="112"/>
      <c r="J56" s="112"/>
      <c r="K56" s="112"/>
    </row>
    <row r="57" spans="1:11" s="38" customFormat="1" ht="18.75" customHeight="1">
      <c r="A57" s="26">
        <v>363</v>
      </c>
      <c r="B57" s="27" t="s">
        <v>161</v>
      </c>
      <c r="C57" s="28"/>
      <c r="D57" s="131">
        <v>2300000</v>
      </c>
      <c r="E57" s="134">
        <f t="shared" si="0"/>
        <v>0</v>
      </c>
      <c r="F57" s="30">
        <f t="shared" si="7"/>
        <v>0</v>
      </c>
      <c r="G57" s="131">
        <f t="shared" si="8"/>
        <v>2300000</v>
      </c>
      <c r="H57" s="201"/>
      <c r="I57" s="111"/>
      <c r="J57" s="111"/>
      <c r="K57" s="111"/>
    </row>
    <row r="58" spans="1:11" s="38" customFormat="1" ht="18.75" customHeight="1">
      <c r="A58" s="26">
        <v>364</v>
      </c>
      <c r="B58" s="27" t="s">
        <v>162</v>
      </c>
      <c r="C58" s="28"/>
      <c r="D58" s="131">
        <v>500000</v>
      </c>
      <c r="E58" s="134">
        <f t="shared" si="0"/>
        <v>0</v>
      </c>
      <c r="F58" s="30">
        <f t="shared" si="7"/>
        <v>0</v>
      </c>
      <c r="G58" s="131">
        <f t="shared" si="8"/>
        <v>500000</v>
      </c>
      <c r="H58" s="201"/>
      <c r="I58" s="111"/>
      <c r="J58" s="111"/>
      <c r="K58" s="111"/>
    </row>
    <row r="59" spans="1:11" s="38" customFormat="1" ht="18.75" customHeight="1">
      <c r="A59" s="26">
        <v>365</v>
      </c>
      <c r="B59" s="27" t="s">
        <v>163</v>
      </c>
      <c r="C59" s="28"/>
      <c r="D59" s="131">
        <v>3000000</v>
      </c>
      <c r="E59" s="134">
        <f t="shared" si="0"/>
        <v>0</v>
      </c>
      <c r="F59" s="30">
        <f t="shared" si="7"/>
        <v>0</v>
      </c>
      <c r="G59" s="131">
        <f t="shared" si="8"/>
        <v>3000000</v>
      </c>
      <c r="H59" s="201"/>
      <c r="I59" s="111"/>
      <c r="J59" s="111"/>
      <c r="K59" s="111"/>
    </row>
    <row r="60" spans="1:11" s="38" customFormat="1" ht="18.75" customHeight="1">
      <c r="A60" s="26">
        <v>366</v>
      </c>
      <c r="B60" s="27" t="s">
        <v>164</v>
      </c>
      <c r="C60" s="28"/>
      <c r="D60" s="131">
        <v>5000000</v>
      </c>
      <c r="E60" s="134">
        <f t="shared" si="0"/>
        <v>0</v>
      </c>
      <c r="F60" s="30">
        <f t="shared" si="7"/>
        <v>0</v>
      </c>
      <c r="G60" s="131">
        <f t="shared" si="8"/>
        <v>5000000</v>
      </c>
      <c r="H60" s="201"/>
      <c r="I60" s="111"/>
      <c r="J60" s="111"/>
      <c r="K60" s="111"/>
    </row>
    <row r="61" spans="1:11" s="38" customFormat="1" ht="18.75" customHeight="1">
      <c r="A61" s="26">
        <v>369</v>
      </c>
      <c r="B61" s="27" t="s">
        <v>165</v>
      </c>
      <c r="C61" s="28"/>
      <c r="D61" s="131">
        <v>0</v>
      </c>
      <c r="E61" s="134">
        <f t="shared" si="0"/>
        <v>0</v>
      </c>
      <c r="F61" s="30" t="s">
        <v>428</v>
      </c>
      <c r="G61" s="131">
        <f t="shared" si="8"/>
        <v>0</v>
      </c>
      <c r="H61" s="201"/>
      <c r="I61" s="111"/>
      <c r="J61" s="111"/>
      <c r="K61" s="111"/>
    </row>
    <row r="62" spans="1:11" s="37" customFormat="1" ht="21.95" customHeight="1">
      <c r="A62" s="21">
        <v>3700</v>
      </c>
      <c r="B62" s="22" t="s">
        <v>166</v>
      </c>
      <c r="C62" s="23"/>
      <c r="D62" s="130">
        <f>SUM(D63:D71)</f>
        <v>1455000</v>
      </c>
      <c r="E62" s="130">
        <f t="shared" si="0"/>
        <v>0</v>
      </c>
      <c r="F62" s="25">
        <f>G62/D62-1</f>
        <v>0</v>
      </c>
      <c r="G62" s="130">
        <f>SUM(G63:G71)</f>
        <v>1455000</v>
      </c>
      <c r="H62" s="200"/>
      <c r="I62" s="110"/>
      <c r="J62" s="110"/>
      <c r="K62" s="110"/>
    </row>
    <row r="63" spans="1:11" s="38" customFormat="1" ht="18.75" customHeight="1">
      <c r="A63" s="26">
        <v>371</v>
      </c>
      <c r="B63" s="27" t="s">
        <v>167</v>
      </c>
      <c r="C63" s="28"/>
      <c r="D63" s="131">
        <v>600000</v>
      </c>
      <c r="E63" s="134">
        <f t="shared" si="0"/>
        <v>0</v>
      </c>
      <c r="F63" s="30">
        <f>G63/D63-1</f>
        <v>0</v>
      </c>
      <c r="G63" s="131">
        <f t="shared" si="8"/>
        <v>600000</v>
      </c>
      <c r="H63" s="201"/>
      <c r="I63" s="111"/>
      <c r="J63" s="111"/>
      <c r="K63" s="111"/>
    </row>
    <row r="64" spans="1:11" s="38" customFormat="1" ht="18.75" customHeight="1">
      <c r="A64" s="26">
        <v>372</v>
      </c>
      <c r="B64" s="27" t="s">
        <v>168</v>
      </c>
      <c r="C64" s="28"/>
      <c r="D64" s="131">
        <v>25000</v>
      </c>
      <c r="E64" s="134">
        <f t="shared" si="0"/>
        <v>0</v>
      </c>
      <c r="F64" s="30">
        <f t="shared" ref="F64:F76" si="9">G64/D64-1</f>
        <v>0</v>
      </c>
      <c r="G64" s="131">
        <f t="shared" si="8"/>
        <v>25000</v>
      </c>
      <c r="H64" s="201"/>
      <c r="I64" s="111"/>
      <c r="J64" s="111"/>
      <c r="K64" s="111"/>
    </row>
    <row r="65" spans="1:11" s="38" customFormat="1" ht="18.75" customHeight="1">
      <c r="A65" s="26">
        <v>373</v>
      </c>
      <c r="B65" s="27" t="s">
        <v>169</v>
      </c>
      <c r="C65" s="28"/>
      <c r="D65" s="131">
        <v>0</v>
      </c>
      <c r="E65" s="134">
        <f t="shared" si="0"/>
        <v>0</v>
      </c>
      <c r="F65" s="30" t="s">
        <v>428</v>
      </c>
      <c r="G65" s="131">
        <f t="shared" si="8"/>
        <v>0</v>
      </c>
      <c r="H65" s="201"/>
      <c r="I65" s="111"/>
      <c r="J65" s="111"/>
      <c r="K65" s="111"/>
    </row>
    <row r="66" spans="1:11" s="38" customFormat="1" ht="18.75" customHeight="1">
      <c r="A66" s="26">
        <v>374</v>
      </c>
      <c r="B66" s="27" t="s">
        <v>170</v>
      </c>
      <c r="C66" s="28"/>
      <c r="D66" s="131">
        <v>0</v>
      </c>
      <c r="E66" s="134">
        <f t="shared" si="0"/>
        <v>0</v>
      </c>
      <c r="F66" s="30" t="s">
        <v>428</v>
      </c>
      <c r="G66" s="131">
        <f t="shared" si="8"/>
        <v>0</v>
      </c>
      <c r="H66" s="201"/>
      <c r="I66" s="111"/>
      <c r="J66" s="111"/>
      <c r="K66" s="111"/>
    </row>
    <row r="67" spans="1:11" s="38" customFormat="1" ht="18.75" customHeight="1">
      <c r="A67" s="26">
        <v>375</v>
      </c>
      <c r="B67" s="27" t="s">
        <v>171</v>
      </c>
      <c r="C67" s="28"/>
      <c r="D67" s="131">
        <v>500000</v>
      </c>
      <c r="E67" s="134">
        <f t="shared" si="0"/>
        <v>0</v>
      </c>
      <c r="F67" s="30">
        <f t="shared" si="9"/>
        <v>0</v>
      </c>
      <c r="G67" s="131">
        <f t="shared" si="8"/>
        <v>500000</v>
      </c>
      <c r="H67" s="201"/>
      <c r="I67" s="111"/>
      <c r="J67" s="111"/>
      <c r="K67" s="111"/>
    </row>
    <row r="68" spans="1:11" s="38" customFormat="1" ht="25.5" customHeight="1">
      <c r="A68" s="26">
        <v>376</v>
      </c>
      <c r="B68" s="27" t="s">
        <v>172</v>
      </c>
      <c r="C68" s="28"/>
      <c r="D68" s="131">
        <v>300000</v>
      </c>
      <c r="E68" s="134">
        <f t="shared" ref="E68:E71" si="10">G68-D68</f>
        <v>0</v>
      </c>
      <c r="F68" s="30">
        <f t="shared" si="9"/>
        <v>0</v>
      </c>
      <c r="G68" s="131">
        <f>D68</f>
        <v>300000</v>
      </c>
      <c r="H68" s="201"/>
      <c r="I68" s="111"/>
      <c r="J68" s="111"/>
      <c r="K68" s="111"/>
    </row>
    <row r="69" spans="1:11" s="38" customFormat="1" ht="18.75" customHeight="1">
      <c r="A69" s="26">
        <v>377</v>
      </c>
      <c r="B69" s="27" t="s">
        <v>173</v>
      </c>
      <c r="C69" s="28"/>
      <c r="D69" s="131">
        <v>0</v>
      </c>
      <c r="E69" s="134">
        <f t="shared" si="10"/>
        <v>0</v>
      </c>
      <c r="F69" s="30" t="s">
        <v>428</v>
      </c>
      <c r="G69" s="131">
        <f t="shared" si="8"/>
        <v>0</v>
      </c>
      <c r="H69" s="201"/>
      <c r="I69" s="111"/>
      <c r="J69" s="111"/>
      <c r="K69" s="111"/>
    </row>
    <row r="70" spans="1:11" s="38" customFormat="1" ht="18.75" customHeight="1">
      <c r="A70" s="26">
        <v>378</v>
      </c>
      <c r="B70" s="27" t="s">
        <v>174</v>
      </c>
      <c r="C70" s="28"/>
      <c r="D70" s="131">
        <v>0</v>
      </c>
      <c r="E70" s="134">
        <f t="shared" si="10"/>
        <v>0</v>
      </c>
      <c r="F70" s="30" t="s">
        <v>428</v>
      </c>
      <c r="G70" s="131">
        <f t="shared" si="8"/>
        <v>0</v>
      </c>
      <c r="H70" s="201"/>
      <c r="I70" s="111"/>
      <c r="J70" s="111"/>
      <c r="K70" s="111"/>
    </row>
    <row r="71" spans="1:11" s="38" customFormat="1" ht="18.75" customHeight="1">
      <c r="A71" s="26">
        <v>379</v>
      </c>
      <c r="B71" s="27" t="s">
        <v>175</v>
      </c>
      <c r="C71" s="28"/>
      <c r="D71" s="131">
        <v>30000</v>
      </c>
      <c r="E71" s="134">
        <f t="shared" si="10"/>
        <v>0</v>
      </c>
      <c r="F71" s="30">
        <f t="shared" si="9"/>
        <v>0</v>
      </c>
      <c r="G71" s="131">
        <f t="shared" si="8"/>
        <v>30000</v>
      </c>
      <c r="H71" s="201"/>
      <c r="I71" s="111"/>
      <c r="J71" s="111"/>
      <c r="K71" s="111"/>
    </row>
    <row r="72" spans="1:11" s="37" customFormat="1" ht="21.95" customHeight="1">
      <c r="A72" s="21">
        <v>3800</v>
      </c>
      <c r="B72" s="22" t="s">
        <v>176</v>
      </c>
      <c r="C72" s="23"/>
      <c r="D72" s="130">
        <f>SUM(D73:D77)</f>
        <v>10100000</v>
      </c>
      <c r="E72" s="130">
        <f t="shared" ref="E72:E78" si="11">G72-D72</f>
        <v>13500000</v>
      </c>
      <c r="F72" s="25">
        <f>G72/D72-1</f>
        <v>1.3366336633663365</v>
      </c>
      <c r="G72" s="130">
        <f>SUM(G73:G77)</f>
        <v>23600000</v>
      </c>
      <c r="H72" s="200"/>
      <c r="I72" s="110"/>
      <c r="J72" s="110"/>
      <c r="K72" s="110"/>
    </row>
    <row r="73" spans="1:11" s="38" customFormat="1" ht="18.75" customHeight="1">
      <c r="A73" s="26">
        <v>381</v>
      </c>
      <c r="B73" s="27" t="s">
        <v>177</v>
      </c>
      <c r="C73" s="28"/>
      <c r="D73" s="131">
        <v>50000</v>
      </c>
      <c r="E73" s="134">
        <f t="shared" ref="E73:E87" si="12">G73-D73</f>
        <v>0</v>
      </c>
      <c r="F73" s="30">
        <f t="shared" si="9"/>
        <v>0</v>
      </c>
      <c r="G73" s="131">
        <f t="shared" si="8"/>
        <v>50000</v>
      </c>
      <c r="H73" s="201"/>
      <c r="I73" s="111"/>
      <c r="J73" s="111"/>
      <c r="K73" s="111"/>
    </row>
    <row r="74" spans="1:11" s="38" customFormat="1" ht="33" customHeight="1">
      <c r="A74" s="26">
        <v>382</v>
      </c>
      <c r="B74" s="27" t="s">
        <v>178</v>
      </c>
      <c r="C74" s="28"/>
      <c r="D74" s="131">
        <v>8000000</v>
      </c>
      <c r="E74" s="134">
        <f t="shared" si="12"/>
        <v>10000000</v>
      </c>
      <c r="F74" s="30">
        <f t="shared" si="9"/>
        <v>1.25</v>
      </c>
      <c r="G74" s="131">
        <f>D74+10000000</f>
        <v>18000000</v>
      </c>
      <c r="H74" s="201"/>
      <c r="I74" s="111"/>
      <c r="J74" s="111"/>
      <c r="K74" s="111"/>
    </row>
    <row r="75" spans="1:11" s="38" customFormat="1" ht="18.75" customHeight="1">
      <c r="A75" s="26">
        <v>383</v>
      </c>
      <c r="B75" s="27" t="s">
        <v>179</v>
      </c>
      <c r="C75" s="28"/>
      <c r="D75" s="131">
        <v>350000</v>
      </c>
      <c r="E75" s="134">
        <f t="shared" si="12"/>
        <v>0</v>
      </c>
      <c r="F75" s="30">
        <f t="shared" si="9"/>
        <v>0</v>
      </c>
      <c r="G75" s="131">
        <f t="shared" si="8"/>
        <v>350000</v>
      </c>
      <c r="H75" s="201"/>
      <c r="I75" s="111"/>
      <c r="J75" s="111"/>
      <c r="K75" s="111"/>
    </row>
    <row r="76" spans="1:11" s="38" customFormat="1" ht="18.75" customHeight="1">
      <c r="A76" s="26">
        <v>384</v>
      </c>
      <c r="B76" s="27" t="s">
        <v>180</v>
      </c>
      <c r="C76" s="28"/>
      <c r="D76" s="131">
        <v>1700000</v>
      </c>
      <c r="E76" s="134">
        <f t="shared" si="12"/>
        <v>3500000</v>
      </c>
      <c r="F76" s="30">
        <f t="shared" si="9"/>
        <v>2.0588235294117645</v>
      </c>
      <c r="G76" s="131">
        <f>D76+3500000</f>
        <v>5200000</v>
      </c>
      <c r="H76" s="201"/>
      <c r="I76" s="111"/>
      <c r="J76" s="111"/>
      <c r="K76" s="111"/>
    </row>
    <row r="77" spans="1:11" s="38" customFormat="1" ht="18.75" customHeight="1">
      <c r="A77" s="26">
        <v>385</v>
      </c>
      <c r="B77" s="27" t="s">
        <v>181</v>
      </c>
      <c r="C77" s="28"/>
      <c r="D77" s="131">
        <v>0</v>
      </c>
      <c r="E77" s="134">
        <f t="shared" si="12"/>
        <v>0</v>
      </c>
      <c r="F77" s="30" t="s">
        <v>428</v>
      </c>
      <c r="G77" s="131">
        <f t="shared" si="8"/>
        <v>0</v>
      </c>
      <c r="H77" s="201"/>
      <c r="I77" s="111"/>
      <c r="J77" s="111"/>
      <c r="K77" s="111"/>
    </row>
    <row r="78" spans="1:11" s="37" customFormat="1" ht="21.95" customHeight="1">
      <c r="A78" s="21">
        <v>3900</v>
      </c>
      <c r="B78" s="22" t="s">
        <v>182</v>
      </c>
      <c r="C78" s="23"/>
      <c r="D78" s="130">
        <f>SUM(D79:D84)</f>
        <v>15800000</v>
      </c>
      <c r="E78" s="130">
        <f t="shared" si="11"/>
        <v>0</v>
      </c>
      <c r="F78" s="25">
        <f t="shared" ref="F78:F86" si="13">G78/D78-1</f>
        <v>0</v>
      </c>
      <c r="G78" s="130">
        <f>SUM(G79:G84)</f>
        <v>15800000</v>
      </c>
      <c r="H78" s="200"/>
      <c r="I78" s="110"/>
      <c r="J78" s="110"/>
      <c r="K78" s="110"/>
    </row>
    <row r="79" spans="1:11" s="38" customFormat="1" ht="18.75" customHeight="1">
      <c r="A79" s="26">
        <v>391</v>
      </c>
      <c r="B79" s="27" t="s">
        <v>183</v>
      </c>
      <c r="C79" s="28"/>
      <c r="D79" s="131">
        <v>0</v>
      </c>
      <c r="E79" s="134">
        <f t="shared" si="12"/>
        <v>0</v>
      </c>
      <c r="F79" s="30" t="s">
        <v>428</v>
      </c>
      <c r="G79" s="131">
        <v>0</v>
      </c>
      <c r="H79" s="201"/>
      <c r="I79" s="111"/>
      <c r="J79" s="111"/>
      <c r="K79" s="111"/>
    </row>
    <row r="80" spans="1:11" s="38" customFormat="1" ht="18.75" customHeight="1">
      <c r="A80" s="26">
        <v>392</v>
      </c>
      <c r="B80" s="27" t="s">
        <v>184</v>
      </c>
      <c r="C80" s="28"/>
      <c r="D80" s="131">
        <v>4500000</v>
      </c>
      <c r="E80" s="134">
        <f t="shared" si="12"/>
        <v>0</v>
      </c>
      <c r="F80" s="30">
        <f t="shared" si="13"/>
        <v>0</v>
      </c>
      <c r="G80" s="131">
        <f>4500000</f>
        <v>4500000</v>
      </c>
      <c r="H80" s="201"/>
      <c r="I80" s="111"/>
      <c r="J80" s="111"/>
      <c r="K80" s="111"/>
    </row>
    <row r="81" spans="1:11" s="38" customFormat="1" ht="18.75" customHeight="1">
      <c r="A81" s="26">
        <v>393</v>
      </c>
      <c r="B81" s="27" t="s">
        <v>185</v>
      </c>
      <c r="C81" s="28"/>
      <c r="D81" s="131">
        <v>0</v>
      </c>
      <c r="E81" s="134">
        <f t="shared" si="12"/>
        <v>0</v>
      </c>
      <c r="F81" s="30" t="s">
        <v>428</v>
      </c>
      <c r="G81" s="131">
        <v>0</v>
      </c>
      <c r="H81" s="201"/>
      <c r="I81" s="111"/>
      <c r="J81" s="111"/>
      <c r="K81" s="111"/>
    </row>
    <row r="82" spans="1:11" s="38" customFormat="1" ht="29.25" customHeight="1">
      <c r="A82" s="26">
        <v>394</v>
      </c>
      <c r="B82" s="27" t="s">
        <v>431</v>
      </c>
      <c r="C82" s="28"/>
      <c r="D82" s="131">
        <v>0</v>
      </c>
      <c r="E82" s="134">
        <f t="shared" si="12"/>
        <v>0</v>
      </c>
      <c r="F82" s="30" t="s">
        <v>428</v>
      </c>
      <c r="G82" s="131">
        <v>0</v>
      </c>
      <c r="H82" s="201"/>
      <c r="I82" s="111"/>
      <c r="J82" s="111"/>
      <c r="K82" s="111"/>
    </row>
    <row r="83" spans="1:11" s="38" customFormat="1" ht="45" customHeight="1">
      <c r="A83" s="26">
        <v>395</v>
      </c>
      <c r="B83" s="27" t="s">
        <v>186</v>
      </c>
      <c r="C83" s="28"/>
      <c r="D83" s="131">
        <v>2150000</v>
      </c>
      <c r="E83" s="134">
        <f t="shared" si="12"/>
        <v>0</v>
      </c>
      <c r="F83" s="30">
        <f t="shared" si="13"/>
        <v>0</v>
      </c>
      <c r="G83" s="131">
        <v>2150000</v>
      </c>
      <c r="H83" s="201"/>
      <c r="I83" s="111"/>
      <c r="J83" s="111"/>
      <c r="K83" s="111"/>
    </row>
    <row r="84" spans="1:11" s="38" customFormat="1" ht="41.25" customHeight="1">
      <c r="A84" s="26">
        <v>396</v>
      </c>
      <c r="B84" s="27" t="s">
        <v>187</v>
      </c>
      <c r="C84" s="28"/>
      <c r="D84" s="131">
        <v>9150000</v>
      </c>
      <c r="E84" s="134">
        <f t="shared" si="12"/>
        <v>0</v>
      </c>
      <c r="F84" s="30">
        <f t="shared" si="13"/>
        <v>0</v>
      </c>
      <c r="G84" s="131">
        <f>9150000</f>
        <v>9150000</v>
      </c>
      <c r="H84" s="201"/>
      <c r="I84" s="111"/>
      <c r="J84" s="111"/>
      <c r="K84" s="111"/>
    </row>
    <row r="85" spans="1:11" s="38" customFormat="1" ht="12.75" hidden="1">
      <c r="A85" s="26">
        <v>397</v>
      </c>
      <c r="B85" s="27" t="s">
        <v>432</v>
      </c>
      <c r="C85" s="28"/>
      <c r="D85" s="131">
        <v>9150001</v>
      </c>
      <c r="E85" s="134">
        <f t="shared" si="12"/>
        <v>-1</v>
      </c>
      <c r="F85" s="30">
        <f t="shared" si="13"/>
        <v>-1.09289605587648E-7</v>
      </c>
      <c r="G85" s="131">
        <f t="shared" ref="G85:G86" si="14">9150000</f>
        <v>9150000</v>
      </c>
      <c r="H85" s="201"/>
      <c r="I85" s="111"/>
      <c r="J85" s="111"/>
      <c r="K85" s="111"/>
    </row>
    <row r="86" spans="1:11" s="38" customFormat="1" ht="12.75" hidden="1">
      <c r="A86" s="26">
        <v>399</v>
      </c>
      <c r="B86" s="27" t="s">
        <v>188</v>
      </c>
      <c r="C86" s="28"/>
      <c r="D86" s="131">
        <v>9150002</v>
      </c>
      <c r="E86" s="134">
        <f t="shared" si="12"/>
        <v>-2</v>
      </c>
      <c r="F86" s="30">
        <f t="shared" si="13"/>
        <v>-2.1857918719447866E-7</v>
      </c>
      <c r="G86" s="131">
        <f t="shared" si="14"/>
        <v>9150000</v>
      </c>
      <c r="H86" s="201"/>
      <c r="I86" s="111"/>
      <c r="J86" s="111"/>
      <c r="K86" s="111"/>
    </row>
    <row r="87" spans="1:11">
      <c r="A87" s="26">
        <v>398</v>
      </c>
      <c r="B87" s="27" t="s">
        <v>435</v>
      </c>
      <c r="D87" s="131">
        <v>0</v>
      </c>
      <c r="E87" s="134">
        <f t="shared" si="12"/>
        <v>0</v>
      </c>
      <c r="F87" s="30" t="s">
        <v>428</v>
      </c>
      <c r="G87" s="131">
        <v>0</v>
      </c>
    </row>
  </sheetData>
  <sheetProtection selectLockedCells="1"/>
  <mergeCells count="6">
    <mergeCell ref="G1:G2"/>
    <mergeCell ref="A1:A2"/>
    <mergeCell ref="B1:B2"/>
    <mergeCell ref="C1:C2"/>
    <mergeCell ref="D1:D2"/>
    <mergeCell ref="E1:F1"/>
  </mergeCells>
  <phoneticPr fontId="5" type="noConversion"/>
  <conditionalFormatting sqref="G35:G43 G45:G53 G25:G33 D15:D23 D79:D87 G79:G87 G5:G9 G11:G13 D5:D13 D25:D33 D35:D43 D45:D53 D55:D61 D63:D71 D73:D77 G55:G61 G63:G71 G73:G77 G15:G23">
    <cfRule type="containsBlanks" dxfId="85" priority="93">
      <formula>LEN(TRIM(D5))=0</formula>
    </cfRule>
  </conditionalFormatting>
  <dataValidations count="1">
    <dataValidation type="whole" errorStyle="warning" operator="greaterThan" allowBlank="1" showInputMessage="1" showErrorMessage="1" errorTitle="IMPORTANTE" error="Se recomienda leer las instrucciones antes de inciar con el llenado del presupuesto por objeto del gasto" sqref="B1:E1 G1">
      <formula1>0</formula1>
    </dataValidation>
  </dataValidations>
  <printOptions horizontalCentered="1"/>
  <pageMargins left="0" right="0" top="0" bottom="0" header="0" footer="0"/>
  <pageSetup scale="75" fitToHeight="2" orientation="landscape" r:id="rId1"/>
  <colBreaks count="1" manualBreakCount="1">
    <brk id="7" max="8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I62"/>
  <sheetViews>
    <sheetView showGridLines="0" view="pageBreakPreview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9" sqref="B9"/>
    </sheetView>
  </sheetViews>
  <sheetFormatPr baseColWidth="10" defaultColWidth="11.42578125" defaultRowHeight="15"/>
  <cols>
    <col min="1" max="1" width="11.42578125" style="2" customWidth="1"/>
    <col min="2" max="2" width="86.7109375" style="8" customWidth="1"/>
    <col min="3" max="3" width="42.85546875" style="8" hidden="1" customWidth="1"/>
    <col min="4" max="4" width="18.7109375" style="15" customWidth="1"/>
    <col min="5" max="5" width="15.7109375" style="17" customWidth="1"/>
    <col min="6" max="6" width="7.5703125" style="10" bestFit="1" customWidth="1"/>
    <col min="7" max="7" width="18.7109375" style="137" customWidth="1"/>
    <col min="8" max="8" width="13.7109375" style="212" bestFit="1" customWidth="1"/>
    <col min="9" max="9" width="15.42578125" customWidth="1"/>
  </cols>
  <sheetData>
    <row r="1" spans="1:8" s="11" customFormat="1" ht="30" customHeight="1" thickBot="1">
      <c r="A1" s="242" t="s">
        <v>0</v>
      </c>
      <c r="B1" s="244" t="s">
        <v>1</v>
      </c>
      <c r="C1" s="258"/>
      <c r="D1" s="248" t="s">
        <v>429</v>
      </c>
      <c r="E1" s="250" t="s">
        <v>427</v>
      </c>
      <c r="F1" s="251"/>
      <c r="G1" s="248" t="s">
        <v>436</v>
      </c>
      <c r="H1" s="207"/>
    </row>
    <row r="2" spans="1:8" s="11" customFormat="1" ht="25.5" customHeight="1" thickBot="1">
      <c r="A2" s="243"/>
      <c r="B2" s="245"/>
      <c r="C2" s="259"/>
      <c r="D2" s="249"/>
      <c r="E2" s="65" t="s">
        <v>420</v>
      </c>
      <c r="F2" s="65" t="s">
        <v>421</v>
      </c>
      <c r="G2" s="249"/>
      <c r="H2" s="207"/>
    </row>
    <row r="3" spans="1:8" s="36" customFormat="1" ht="24.95" customHeight="1">
      <c r="A3" s="59">
        <v>4000</v>
      </c>
      <c r="B3" s="60" t="s">
        <v>189</v>
      </c>
      <c r="C3" s="62"/>
      <c r="D3" s="133">
        <f>D4+D17+D23+D33+D42+D46+D53+D59</f>
        <v>865685997</v>
      </c>
      <c r="E3" s="133">
        <f>G3-D3</f>
        <v>5454706</v>
      </c>
      <c r="F3" s="63">
        <f>G3/D3-1</f>
        <v>6.3010214083432103E-3</v>
      </c>
      <c r="G3" s="133">
        <f>G4+G17+G23+G33+G42+G46+G53+G59</f>
        <v>871140703</v>
      </c>
      <c r="H3" s="208"/>
    </row>
    <row r="4" spans="1:8" s="37" customFormat="1" ht="21.95" customHeight="1">
      <c r="A4" s="21">
        <v>4100</v>
      </c>
      <c r="B4" s="22" t="s">
        <v>190</v>
      </c>
      <c r="C4" s="24"/>
      <c r="D4" s="130">
        <f>SUM(D5:D14,D15:D16)</f>
        <v>506000000</v>
      </c>
      <c r="E4" s="130">
        <f t="shared" ref="E4:E62" si="0">G4-D4</f>
        <v>0</v>
      </c>
      <c r="F4" s="25">
        <f>G4/D4-1</f>
        <v>0</v>
      </c>
      <c r="G4" s="130">
        <f>SUM(G5:G14,G15:G16)</f>
        <v>506000000</v>
      </c>
      <c r="H4" s="209"/>
    </row>
    <row r="5" spans="1:8" s="38" customFormat="1" ht="18.75" customHeight="1">
      <c r="A5" s="26">
        <v>411</v>
      </c>
      <c r="B5" s="31" t="s">
        <v>191</v>
      </c>
      <c r="C5" s="29"/>
      <c r="D5" s="134">
        <v>0</v>
      </c>
      <c r="E5" s="134">
        <f t="shared" si="0"/>
        <v>0</v>
      </c>
      <c r="F5" s="30" t="s">
        <v>428</v>
      </c>
      <c r="G5" s="134">
        <v>0</v>
      </c>
      <c r="H5" s="210"/>
    </row>
    <row r="6" spans="1:8" s="38" customFormat="1" ht="18.75" customHeight="1">
      <c r="A6" s="26">
        <v>412</v>
      </c>
      <c r="B6" s="31" t="s">
        <v>192</v>
      </c>
      <c r="C6" s="29"/>
      <c r="D6" s="134">
        <v>0</v>
      </c>
      <c r="E6" s="134">
        <f t="shared" si="0"/>
        <v>0</v>
      </c>
      <c r="F6" s="30" t="s">
        <v>428</v>
      </c>
      <c r="G6" s="134">
        <v>0</v>
      </c>
      <c r="H6" s="210"/>
    </row>
    <row r="7" spans="1:8" s="38" customFormat="1" ht="18.75" customHeight="1">
      <c r="A7" s="26">
        <v>413</v>
      </c>
      <c r="B7" s="31" t="s">
        <v>193</v>
      </c>
      <c r="C7" s="29"/>
      <c r="D7" s="134">
        <v>0</v>
      </c>
      <c r="E7" s="134">
        <f t="shared" si="0"/>
        <v>0</v>
      </c>
      <c r="F7" s="30" t="s">
        <v>428</v>
      </c>
      <c r="G7" s="134">
        <v>0</v>
      </c>
      <c r="H7" s="210"/>
    </row>
    <row r="8" spans="1:8" s="38" customFormat="1" ht="18.75" customHeight="1">
      <c r="A8" s="26">
        <v>414</v>
      </c>
      <c r="B8" s="31" t="s">
        <v>194</v>
      </c>
      <c r="C8" s="29"/>
      <c r="D8" s="134">
        <v>0</v>
      </c>
      <c r="E8" s="134">
        <f t="shared" si="0"/>
        <v>0</v>
      </c>
      <c r="F8" s="30" t="s">
        <v>428</v>
      </c>
      <c r="G8" s="134">
        <v>0</v>
      </c>
      <c r="H8" s="210"/>
    </row>
    <row r="9" spans="1:8" s="38" customFormat="1" ht="18.75" customHeight="1">
      <c r="A9" s="26">
        <v>415</v>
      </c>
      <c r="B9" s="31" t="s">
        <v>195</v>
      </c>
      <c r="C9" s="29"/>
      <c r="D9" s="134">
        <v>0</v>
      </c>
      <c r="E9" s="134">
        <f t="shared" si="0"/>
        <v>0</v>
      </c>
      <c r="F9" s="30"/>
      <c r="G9" s="134">
        <v>0</v>
      </c>
      <c r="H9" s="210"/>
    </row>
    <row r="10" spans="1:8" s="38" customFormat="1" ht="18.75" customHeight="1">
      <c r="A10" s="26"/>
      <c r="B10" s="31" t="s">
        <v>196</v>
      </c>
      <c r="C10" s="29" t="s">
        <v>196</v>
      </c>
      <c r="D10" s="134">
        <v>56000000</v>
      </c>
      <c r="E10" s="134">
        <f t="shared" si="0"/>
        <v>0</v>
      </c>
      <c r="F10" s="30">
        <f>G10/D10-1</f>
        <v>0</v>
      </c>
      <c r="G10" s="134">
        <f>D10</f>
        <v>56000000</v>
      </c>
      <c r="H10" s="210"/>
    </row>
    <row r="11" spans="1:8" s="38" customFormat="1" ht="18.75" customHeight="1">
      <c r="A11" s="26"/>
      <c r="B11" s="31" t="s">
        <v>197</v>
      </c>
      <c r="C11" s="29" t="s">
        <v>197</v>
      </c>
      <c r="D11" s="134">
        <v>181000000</v>
      </c>
      <c r="E11" s="134">
        <f t="shared" si="0"/>
        <v>0</v>
      </c>
      <c r="F11" s="30">
        <f>G11/D11-1</f>
        <v>0</v>
      </c>
      <c r="G11" s="134">
        <f t="shared" ref="G11:G12" si="1">D11</f>
        <v>181000000</v>
      </c>
      <c r="H11" s="210"/>
    </row>
    <row r="12" spans="1:8" s="38" customFormat="1" ht="18.75" customHeight="1">
      <c r="A12" s="26"/>
      <c r="B12" s="31" t="s">
        <v>198</v>
      </c>
      <c r="C12" s="29" t="s">
        <v>198</v>
      </c>
      <c r="D12" s="134">
        <v>261500000</v>
      </c>
      <c r="E12" s="134">
        <f t="shared" si="0"/>
        <v>0</v>
      </c>
      <c r="F12" s="30">
        <f>G12/D12-1</f>
        <v>0</v>
      </c>
      <c r="G12" s="134">
        <f t="shared" si="1"/>
        <v>261500000</v>
      </c>
      <c r="H12" s="210"/>
    </row>
    <row r="13" spans="1:8" s="38" customFormat="1" ht="18.75" customHeight="1">
      <c r="A13" s="26">
        <v>416</v>
      </c>
      <c r="B13" s="31" t="s">
        <v>199</v>
      </c>
      <c r="C13" s="29"/>
      <c r="D13" s="134">
        <v>0</v>
      </c>
      <c r="E13" s="134">
        <f t="shared" si="0"/>
        <v>0</v>
      </c>
      <c r="F13" s="30" t="s">
        <v>428</v>
      </c>
      <c r="G13" s="134">
        <v>0</v>
      </c>
      <c r="H13" s="210"/>
    </row>
    <row r="14" spans="1:8" s="38" customFormat="1" ht="18.75" customHeight="1">
      <c r="A14" s="26">
        <v>417</v>
      </c>
      <c r="B14" s="31" t="s">
        <v>200</v>
      </c>
      <c r="C14" s="29"/>
      <c r="D14" s="134">
        <v>7500000</v>
      </c>
      <c r="E14" s="134">
        <f t="shared" si="0"/>
        <v>0</v>
      </c>
      <c r="F14" s="30">
        <v>0</v>
      </c>
      <c r="G14" s="134">
        <v>7500000</v>
      </c>
      <c r="H14" s="210"/>
    </row>
    <row r="15" spans="1:8" s="38" customFormat="1" ht="18.75" customHeight="1">
      <c r="A15" s="26">
        <v>418</v>
      </c>
      <c r="B15" s="31" t="s">
        <v>201</v>
      </c>
      <c r="C15" s="29"/>
      <c r="D15" s="134">
        <v>0</v>
      </c>
      <c r="E15" s="134">
        <f t="shared" si="0"/>
        <v>0</v>
      </c>
      <c r="F15" s="30" t="s">
        <v>428</v>
      </c>
      <c r="G15" s="134">
        <v>0</v>
      </c>
      <c r="H15" s="210"/>
    </row>
    <row r="16" spans="1:8" s="38" customFormat="1" ht="18.75" customHeight="1">
      <c r="A16" s="26">
        <v>419</v>
      </c>
      <c r="B16" s="31" t="s">
        <v>202</v>
      </c>
      <c r="C16" s="29"/>
      <c r="D16" s="134">
        <v>0</v>
      </c>
      <c r="E16" s="134">
        <f t="shared" si="0"/>
        <v>0</v>
      </c>
      <c r="F16" s="30" t="s">
        <v>428</v>
      </c>
      <c r="G16" s="134">
        <v>0</v>
      </c>
      <c r="H16" s="210"/>
    </row>
    <row r="17" spans="1:8" s="37" customFormat="1" ht="12.75">
      <c r="A17" s="21">
        <v>4200</v>
      </c>
      <c r="B17" s="22" t="s">
        <v>203</v>
      </c>
      <c r="C17" s="24"/>
      <c r="D17" s="130">
        <f>SUM(D18:D22)</f>
        <v>20000000</v>
      </c>
      <c r="E17" s="130">
        <f t="shared" si="0"/>
        <v>51380000</v>
      </c>
      <c r="F17" s="25">
        <f>G17/D17-1</f>
        <v>2.569</v>
      </c>
      <c r="G17" s="130">
        <f>SUM(G18:G22)</f>
        <v>71380000</v>
      </c>
      <c r="H17" s="210"/>
    </row>
    <row r="18" spans="1:8" s="38" customFormat="1" ht="18.75" customHeight="1">
      <c r="A18" s="26">
        <v>421</v>
      </c>
      <c r="B18" s="31" t="s">
        <v>204</v>
      </c>
      <c r="C18" s="29"/>
      <c r="D18" s="134">
        <v>0</v>
      </c>
      <c r="E18" s="134">
        <f t="shared" si="0"/>
        <v>0</v>
      </c>
      <c r="F18" s="30" t="s">
        <v>428</v>
      </c>
      <c r="G18" s="134">
        <v>0</v>
      </c>
      <c r="H18" s="210"/>
    </row>
    <row r="19" spans="1:8" s="38" customFormat="1" ht="18.75" customHeight="1">
      <c r="A19" s="26">
        <v>422</v>
      </c>
      <c r="B19" s="31" t="s">
        <v>205</v>
      </c>
      <c r="C19" s="29" t="s">
        <v>407</v>
      </c>
      <c r="D19" s="134">
        <v>20000000</v>
      </c>
      <c r="E19" s="134">
        <f t="shared" si="0"/>
        <v>-10000000</v>
      </c>
      <c r="F19" s="30">
        <f>G19/D19-1</f>
        <v>-0.5</v>
      </c>
      <c r="G19" s="134">
        <f>D19-10000000</f>
        <v>10000000</v>
      </c>
      <c r="H19" s="210"/>
    </row>
    <row r="20" spans="1:8" s="38" customFormat="1" ht="18.75" customHeight="1">
      <c r="A20" s="26">
        <v>423</v>
      </c>
      <c r="B20" s="31" t="s">
        <v>206</v>
      </c>
      <c r="C20" s="29"/>
      <c r="D20" s="134">
        <v>0</v>
      </c>
      <c r="E20" s="134">
        <f t="shared" si="0"/>
        <v>0</v>
      </c>
      <c r="F20" s="30" t="s">
        <v>428</v>
      </c>
      <c r="G20" s="134"/>
      <c r="H20" s="210"/>
    </row>
    <row r="21" spans="1:8" s="38" customFormat="1" ht="18.75" customHeight="1">
      <c r="A21" s="26">
        <v>424</v>
      </c>
      <c r="B21" s="31" t="s">
        <v>207</v>
      </c>
      <c r="C21" s="29"/>
      <c r="D21" s="134">
        <v>0</v>
      </c>
      <c r="E21" s="134">
        <f t="shared" si="0"/>
        <v>26380000</v>
      </c>
      <c r="F21" s="30" t="s">
        <v>428</v>
      </c>
      <c r="G21" s="134">
        <v>26380000</v>
      </c>
      <c r="H21" s="210"/>
    </row>
    <row r="22" spans="1:8" s="38" customFormat="1" ht="18.75" customHeight="1">
      <c r="A22" s="26">
        <v>425</v>
      </c>
      <c r="B22" s="31" t="s">
        <v>208</v>
      </c>
      <c r="C22" s="29"/>
      <c r="D22" s="134">
        <v>0</v>
      </c>
      <c r="E22" s="134">
        <f t="shared" si="0"/>
        <v>35000000</v>
      </c>
      <c r="F22" s="30">
        <v>0</v>
      </c>
      <c r="G22" s="134">
        <v>35000000</v>
      </c>
      <c r="H22" s="210"/>
    </row>
    <row r="23" spans="1:8" s="37" customFormat="1" ht="12.75">
      <c r="A23" s="21">
        <v>4300</v>
      </c>
      <c r="B23" s="22" t="s">
        <v>209</v>
      </c>
      <c r="C23" s="24"/>
      <c r="D23" s="130">
        <f>SUM(D24:D32)</f>
        <v>95240000</v>
      </c>
      <c r="E23" s="130">
        <f t="shared" si="0"/>
        <v>-56010845</v>
      </c>
      <c r="F23" s="25">
        <f>G23/D23-1</f>
        <v>-0.58810211045779082</v>
      </c>
      <c r="G23" s="130">
        <f>SUM(G24:G32)</f>
        <v>39229155</v>
      </c>
      <c r="H23" s="209"/>
    </row>
    <row r="24" spans="1:8" s="38" customFormat="1" ht="18.75" customHeight="1">
      <c r="A24" s="26">
        <v>431</v>
      </c>
      <c r="B24" s="31" t="s">
        <v>210</v>
      </c>
      <c r="C24" s="29"/>
      <c r="D24" s="134">
        <v>15400000</v>
      </c>
      <c r="E24" s="134">
        <f t="shared" si="0"/>
        <v>0</v>
      </c>
      <c r="F24" s="30">
        <f>G24/D24-1</f>
        <v>0</v>
      </c>
      <c r="G24" s="134">
        <f>15400000</f>
        <v>15400000</v>
      </c>
      <c r="H24" s="210"/>
    </row>
    <row r="25" spans="1:8" s="38" customFormat="1" ht="18.75" customHeight="1">
      <c r="A25" s="26">
        <v>432</v>
      </c>
      <c r="B25" s="31" t="s">
        <v>211</v>
      </c>
      <c r="C25" s="29"/>
      <c r="D25" s="134">
        <v>0</v>
      </c>
      <c r="E25" s="134">
        <f t="shared" si="0"/>
        <v>0</v>
      </c>
      <c r="F25" s="30" t="s">
        <v>428</v>
      </c>
      <c r="G25" s="134">
        <v>0</v>
      </c>
      <c r="H25" s="210"/>
    </row>
    <row r="26" spans="1:8" s="38" customFormat="1" ht="18.75" customHeight="1">
      <c r="A26" s="26">
        <v>433</v>
      </c>
      <c r="B26" s="31" t="s">
        <v>212</v>
      </c>
      <c r="C26" s="29"/>
      <c r="D26" s="134">
        <v>50000000</v>
      </c>
      <c r="E26" s="134">
        <f t="shared" si="0"/>
        <v>-36893400</v>
      </c>
      <c r="F26" s="30">
        <f>G26/D26-1</f>
        <v>-0.73786799999999997</v>
      </c>
      <c r="G26" s="134">
        <f>50000000-35000000-1031400-862000</f>
        <v>13106600</v>
      </c>
      <c r="H26" s="210"/>
    </row>
    <row r="27" spans="1:8" s="38" customFormat="1" ht="18.75" customHeight="1">
      <c r="A27" s="26">
        <v>434</v>
      </c>
      <c r="B27" s="31" t="s">
        <v>213</v>
      </c>
      <c r="C27" s="29"/>
      <c r="D27" s="134">
        <v>0</v>
      </c>
      <c r="E27" s="134">
        <f t="shared" si="0"/>
        <v>0</v>
      </c>
      <c r="F27" s="30" t="s">
        <v>428</v>
      </c>
      <c r="G27" s="134">
        <v>0</v>
      </c>
      <c r="H27" s="210"/>
    </row>
    <row r="28" spans="1:8" s="38" customFormat="1" ht="18.75" customHeight="1">
      <c r="A28" s="26">
        <v>435</v>
      </c>
      <c r="B28" s="31" t="s">
        <v>214</v>
      </c>
      <c r="C28" s="29"/>
      <c r="D28" s="134">
        <v>0</v>
      </c>
      <c r="E28" s="134">
        <f t="shared" si="0"/>
        <v>0</v>
      </c>
      <c r="F28" s="30" t="s">
        <v>428</v>
      </c>
      <c r="G28" s="134">
        <v>0</v>
      </c>
      <c r="H28" s="210"/>
    </row>
    <row r="29" spans="1:8" s="38" customFormat="1" ht="18.75" customHeight="1">
      <c r="A29" s="26">
        <v>436</v>
      </c>
      <c r="B29" s="31" t="s">
        <v>215</v>
      </c>
      <c r="C29" s="29"/>
      <c r="D29" s="134">
        <v>0</v>
      </c>
      <c r="E29" s="134">
        <f t="shared" si="0"/>
        <v>0</v>
      </c>
      <c r="F29" s="30" t="s">
        <v>428</v>
      </c>
      <c r="G29" s="134">
        <v>0</v>
      </c>
      <c r="H29" s="210"/>
    </row>
    <row r="30" spans="1:8" s="38" customFormat="1" ht="18.75" customHeight="1">
      <c r="A30" s="26">
        <v>437</v>
      </c>
      <c r="B30" s="31" t="s">
        <v>216</v>
      </c>
      <c r="C30" s="29"/>
      <c r="D30" s="134">
        <v>0</v>
      </c>
      <c r="E30" s="134">
        <f t="shared" si="0"/>
        <v>0</v>
      </c>
      <c r="F30" s="30" t="s">
        <v>428</v>
      </c>
      <c r="G30" s="134">
        <v>0</v>
      </c>
      <c r="H30" s="210"/>
    </row>
    <row r="31" spans="1:8" s="38" customFormat="1" ht="18.75" customHeight="1">
      <c r="A31" s="26">
        <v>438</v>
      </c>
      <c r="B31" s="31" t="s">
        <v>433</v>
      </c>
      <c r="C31" s="29"/>
      <c r="D31" s="134">
        <v>0</v>
      </c>
      <c r="E31" s="134">
        <f t="shared" si="0"/>
        <v>0</v>
      </c>
      <c r="F31" s="30" t="s">
        <v>428</v>
      </c>
      <c r="G31" s="134">
        <v>0</v>
      </c>
      <c r="H31" s="210"/>
    </row>
    <row r="32" spans="1:8" s="38" customFormat="1" ht="18.75" customHeight="1">
      <c r="A32" s="26">
        <v>439</v>
      </c>
      <c r="B32" s="31" t="s">
        <v>217</v>
      </c>
      <c r="C32" s="29"/>
      <c r="D32" s="134">
        <v>29840000</v>
      </c>
      <c r="E32" s="134">
        <f t="shared" si="0"/>
        <v>-19117445</v>
      </c>
      <c r="F32" s="30">
        <f>G32/D32-1</f>
        <v>-0.64066504691689008</v>
      </c>
      <c r="G32" s="134">
        <f>D32-1128400-3500000-3093600-2800000-10000-8585445</f>
        <v>10722555</v>
      </c>
      <c r="H32" s="221"/>
    </row>
    <row r="33" spans="1:9" s="37" customFormat="1" ht="21.95" customHeight="1">
      <c r="A33" s="21">
        <v>4400</v>
      </c>
      <c r="B33" s="22" t="s">
        <v>218</v>
      </c>
      <c r="C33" s="24"/>
      <c r="D33" s="130">
        <f>SUM(D34:D41)</f>
        <v>202933997</v>
      </c>
      <c r="E33" s="130">
        <f t="shared" si="0"/>
        <v>3160551</v>
      </c>
      <c r="F33" s="25">
        <f>G33/D33-1</f>
        <v>1.5574280538120044E-2</v>
      </c>
      <c r="G33" s="130">
        <f>SUM(G34:G41)</f>
        <v>206094548</v>
      </c>
      <c r="H33" s="209"/>
    </row>
    <row r="34" spans="1:9" s="38" customFormat="1" ht="18.75" customHeight="1">
      <c r="A34" s="26">
        <v>441</v>
      </c>
      <c r="B34" s="31" t="s">
        <v>219</v>
      </c>
      <c r="C34" s="29"/>
      <c r="D34" s="134">
        <v>142051997</v>
      </c>
      <c r="E34" s="134">
        <f t="shared" si="0"/>
        <v>-27287500</v>
      </c>
      <c r="F34" s="30">
        <f>G34/D34-1</f>
        <v>-0.19209515231243102</v>
      </c>
      <c r="G34" s="134">
        <f>142051997-23000000-252000-4035500</f>
        <v>114764497</v>
      </c>
      <c r="H34" s="210"/>
    </row>
    <row r="35" spans="1:9" s="38" customFormat="1" ht="18.75" customHeight="1">
      <c r="A35" s="26">
        <v>442</v>
      </c>
      <c r="B35" s="31" t="s">
        <v>220</v>
      </c>
      <c r="C35" s="29"/>
      <c r="D35" s="134">
        <v>35882000</v>
      </c>
      <c r="E35" s="134">
        <f t="shared" si="0"/>
        <v>22900000</v>
      </c>
      <c r="F35" s="30">
        <f>G35/D35-1</f>
        <v>0.63820299871802022</v>
      </c>
      <c r="G35" s="134">
        <f>35882000+23000000-100000</f>
        <v>58782000</v>
      </c>
      <c r="H35" s="210"/>
    </row>
    <row r="36" spans="1:9" s="38" customFormat="1" ht="18.75" customHeight="1">
      <c r="A36" s="26">
        <v>443</v>
      </c>
      <c r="B36" s="31" t="s">
        <v>221</v>
      </c>
      <c r="C36" s="29"/>
      <c r="D36" s="134">
        <v>15000000</v>
      </c>
      <c r="E36" s="134">
        <f t="shared" si="0"/>
        <v>0</v>
      </c>
      <c r="F36" s="30">
        <f>G36/D36-1</f>
        <v>0</v>
      </c>
      <c r="G36" s="134">
        <f>15000000</f>
        <v>15000000</v>
      </c>
      <c r="H36" s="210"/>
    </row>
    <row r="37" spans="1:9" s="38" customFormat="1" ht="18.75" customHeight="1">
      <c r="A37" s="26">
        <v>444</v>
      </c>
      <c r="B37" s="31" t="s">
        <v>222</v>
      </c>
      <c r="C37" s="29"/>
      <c r="D37" s="134">
        <v>0</v>
      </c>
      <c r="E37" s="134">
        <f t="shared" si="0"/>
        <v>0</v>
      </c>
      <c r="F37" s="30" t="s">
        <v>428</v>
      </c>
      <c r="G37" s="134"/>
      <c r="H37" s="210"/>
    </row>
    <row r="38" spans="1:9" s="38" customFormat="1" ht="18.75" customHeight="1">
      <c r="A38" s="26">
        <v>445</v>
      </c>
      <c r="B38" s="31" t="s">
        <v>223</v>
      </c>
      <c r="C38" s="29"/>
      <c r="D38" s="134">
        <v>0</v>
      </c>
      <c r="E38" s="134">
        <f t="shared" si="0"/>
        <v>0</v>
      </c>
      <c r="F38" s="30" t="s">
        <v>428</v>
      </c>
      <c r="G38" s="134">
        <v>0</v>
      </c>
      <c r="H38" s="210"/>
    </row>
    <row r="39" spans="1:9" s="38" customFormat="1" ht="18.75" customHeight="1">
      <c r="A39" s="26">
        <v>446</v>
      </c>
      <c r="B39" s="31" t="s">
        <v>224</v>
      </c>
      <c r="C39" s="29"/>
      <c r="D39" s="134">
        <v>0</v>
      </c>
      <c r="E39" s="134">
        <f t="shared" si="0"/>
        <v>0</v>
      </c>
      <c r="F39" s="30" t="s">
        <v>428</v>
      </c>
      <c r="G39" s="134">
        <v>0</v>
      </c>
      <c r="H39" s="210"/>
    </row>
    <row r="40" spans="1:9" s="38" customFormat="1" ht="18.75" customHeight="1">
      <c r="A40" s="26">
        <v>447</v>
      </c>
      <c r="B40" s="31" t="s">
        <v>225</v>
      </c>
      <c r="C40" s="29"/>
      <c r="D40" s="134">
        <v>0</v>
      </c>
      <c r="E40" s="134">
        <f t="shared" si="0"/>
        <v>0</v>
      </c>
      <c r="F40" s="30" t="s">
        <v>428</v>
      </c>
      <c r="G40" s="134">
        <v>0</v>
      </c>
      <c r="H40" s="210"/>
    </row>
    <row r="41" spans="1:9" s="38" customFormat="1" ht="18.75" customHeight="1">
      <c r="A41" s="26">
        <v>448</v>
      </c>
      <c r="B41" s="31" t="s">
        <v>226</v>
      </c>
      <c r="C41" s="29"/>
      <c r="D41" s="134">
        <v>10000000</v>
      </c>
      <c r="E41" s="134">
        <f t="shared" si="0"/>
        <v>7548051</v>
      </c>
      <c r="F41" s="30">
        <f>G41/D41-1</f>
        <v>0.75480510000000001</v>
      </c>
      <c r="G41" s="134">
        <f>10000000+7548051</f>
        <v>17548051</v>
      </c>
      <c r="H41" s="210"/>
    </row>
    <row r="42" spans="1:9" s="37" customFormat="1" ht="21.95" customHeight="1">
      <c r="A42" s="21">
        <v>4500</v>
      </c>
      <c r="B42" s="22" t="s">
        <v>227</v>
      </c>
      <c r="C42" s="24"/>
      <c r="D42" s="130">
        <f>SUM(D43:D44)</f>
        <v>0</v>
      </c>
      <c r="E42" s="130">
        <f t="shared" si="0"/>
        <v>0</v>
      </c>
      <c r="F42" s="25">
        <v>0</v>
      </c>
      <c r="G42" s="130">
        <f>SUM(G43:G44)</f>
        <v>0</v>
      </c>
      <c r="H42" s="213"/>
      <c r="I42" s="214"/>
    </row>
    <row r="43" spans="1:9" s="38" customFormat="1" ht="18.75" customHeight="1">
      <c r="A43" s="26">
        <v>451</v>
      </c>
      <c r="B43" s="31" t="s">
        <v>228</v>
      </c>
      <c r="C43" s="29"/>
      <c r="D43" s="134">
        <v>0</v>
      </c>
      <c r="E43" s="134">
        <f t="shared" si="0"/>
        <v>0</v>
      </c>
      <c r="F43" s="30" t="s">
        <v>428</v>
      </c>
      <c r="G43" s="134">
        <v>0</v>
      </c>
      <c r="H43" s="213"/>
      <c r="I43" s="214"/>
    </row>
    <row r="44" spans="1:9" s="38" customFormat="1" ht="18.75" customHeight="1">
      <c r="A44" s="26">
        <v>452</v>
      </c>
      <c r="B44" s="31" t="s">
        <v>229</v>
      </c>
      <c r="C44" s="29"/>
      <c r="D44" s="134">
        <v>0</v>
      </c>
      <c r="E44" s="134">
        <f t="shared" si="0"/>
        <v>0</v>
      </c>
      <c r="F44" s="30" t="s">
        <v>428</v>
      </c>
      <c r="G44" s="134">
        <v>0</v>
      </c>
      <c r="H44" s="211"/>
    </row>
    <row r="45" spans="1:9" s="38" customFormat="1" ht="18.75" customHeight="1">
      <c r="A45" s="26">
        <v>459</v>
      </c>
      <c r="B45" s="31" t="s">
        <v>434</v>
      </c>
      <c r="C45" s="29"/>
      <c r="D45" s="134">
        <v>0</v>
      </c>
      <c r="E45" s="134">
        <f t="shared" si="0"/>
        <v>0</v>
      </c>
      <c r="F45" s="30" t="s">
        <v>428</v>
      </c>
      <c r="G45" s="134">
        <v>0</v>
      </c>
      <c r="H45" s="211"/>
    </row>
    <row r="46" spans="1:9" s="37" customFormat="1" ht="21.95" customHeight="1">
      <c r="A46" s="21">
        <v>4600</v>
      </c>
      <c r="B46" s="22" t="s">
        <v>230</v>
      </c>
      <c r="C46" s="24"/>
      <c r="D46" s="130">
        <f>SUM(D47:D50)</f>
        <v>0</v>
      </c>
      <c r="E46" s="130">
        <f t="shared" si="0"/>
        <v>0</v>
      </c>
      <c r="F46" s="25">
        <v>0</v>
      </c>
      <c r="G46" s="130">
        <f>SUM(G47:G50)</f>
        <v>0</v>
      </c>
      <c r="H46" s="209"/>
    </row>
    <row r="47" spans="1:9" s="38" customFormat="1" ht="18.75" customHeight="1">
      <c r="A47" s="26">
        <v>461</v>
      </c>
      <c r="B47" s="31" t="s">
        <v>231</v>
      </c>
      <c r="C47" s="29"/>
      <c r="D47" s="134">
        <v>0</v>
      </c>
      <c r="E47" s="134">
        <f t="shared" si="0"/>
        <v>0</v>
      </c>
      <c r="F47" s="30" t="s">
        <v>428</v>
      </c>
      <c r="G47" s="134">
        <v>0</v>
      </c>
      <c r="H47" s="210"/>
    </row>
    <row r="48" spans="1:9" s="38" customFormat="1" ht="18.75" customHeight="1">
      <c r="A48" s="26">
        <v>462</v>
      </c>
      <c r="B48" s="31" t="s">
        <v>232</v>
      </c>
      <c r="C48" s="29"/>
      <c r="D48" s="134">
        <v>0</v>
      </c>
      <c r="E48" s="134">
        <f t="shared" si="0"/>
        <v>0</v>
      </c>
      <c r="F48" s="30" t="s">
        <v>428</v>
      </c>
      <c r="G48" s="134">
        <v>0</v>
      </c>
      <c r="H48" s="210"/>
    </row>
    <row r="49" spans="1:9" s="38" customFormat="1" ht="18.75" customHeight="1">
      <c r="A49" s="26">
        <v>463</v>
      </c>
      <c r="B49" s="31" t="s">
        <v>233</v>
      </c>
      <c r="C49" s="29"/>
      <c r="D49" s="134">
        <v>0</v>
      </c>
      <c r="E49" s="134">
        <f t="shared" si="0"/>
        <v>0</v>
      </c>
      <c r="F49" s="30" t="s">
        <v>428</v>
      </c>
      <c r="G49" s="134">
        <v>0</v>
      </c>
      <c r="H49" s="210"/>
    </row>
    <row r="50" spans="1:9" s="38" customFormat="1" ht="24" customHeight="1">
      <c r="A50" s="26">
        <v>464</v>
      </c>
      <c r="B50" s="184" t="s">
        <v>234</v>
      </c>
      <c r="C50" s="29"/>
      <c r="D50" s="134">
        <v>0</v>
      </c>
      <c r="E50" s="134">
        <f t="shared" si="0"/>
        <v>0</v>
      </c>
      <c r="F50" s="30" t="s">
        <v>428</v>
      </c>
      <c r="G50" s="134">
        <v>0</v>
      </c>
      <c r="H50" s="210"/>
    </row>
    <row r="51" spans="1:9" s="38" customFormat="1" ht="24.75" customHeight="1">
      <c r="A51" s="26">
        <v>465</v>
      </c>
      <c r="B51" s="31" t="s">
        <v>235</v>
      </c>
      <c r="C51" s="29"/>
      <c r="D51" s="134">
        <v>0</v>
      </c>
      <c r="E51" s="134">
        <f t="shared" si="0"/>
        <v>0</v>
      </c>
      <c r="F51" s="30" t="s">
        <v>428</v>
      </c>
      <c r="G51" s="134">
        <v>0</v>
      </c>
      <c r="H51" s="210"/>
    </row>
    <row r="52" spans="1:9" s="38" customFormat="1" ht="27" customHeight="1">
      <c r="A52" s="26">
        <v>466</v>
      </c>
      <c r="B52" s="31" t="s">
        <v>236</v>
      </c>
      <c r="C52" s="29"/>
      <c r="D52" s="134">
        <v>0</v>
      </c>
      <c r="E52" s="134">
        <f t="shared" si="0"/>
        <v>0</v>
      </c>
      <c r="F52" s="30" t="s">
        <v>428</v>
      </c>
      <c r="G52" s="134">
        <v>0</v>
      </c>
      <c r="H52" s="210"/>
    </row>
    <row r="53" spans="1:9" s="37" customFormat="1" ht="21.95" customHeight="1">
      <c r="A53" s="21">
        <v>4800</v>
      </c>
      <c r="B53" s="22" t="s">
        <v>401</v>
      </c>
      <c r="C53" s="24"/>
      <c r="D53" s="130">
        <f>SUM(D54:D58)</f>
        <v>41512000</v>
      </c>
      <c r="E53" s="130">
        <f t="shared" si="0"/>
        <v>0</v>
      </c>
      <c r="F53" s="25">
        <f>G53/D53-1</f>
        <v>0</v>
      </c>
      <c r="G53" s="130">
        <f>SUM(G54:G58)</f>
        <v>41512000</v>
      </c>
      <c r="H53" s="209"/>
    </row>
    <row r="54" spans="1:9" s="38" customFormat="1" ht="39.75" customHeight="1">
      <c r="A54" s="26">
        <v>481</v>
      </c>
      <c r="B54" s="31" t="s">
        <v>408</v>
      </c>
      <c r="C54" s="29"/>
      <c r="D54" s="134">
        <v>20512000</v>
      </c>
      <c r="E54" s="134">
        <f t="shared" si="0"/>
        <v>0</v>
      </c>
      <c r="F54" s="30">
        <f>G54/D54-1</f>
        <v>0</v>
      </c>
      <c r="G54" s="134">
        <f>20512000</f>
        <v>20512000</v>
      </c>
      <c r="H54" s="256"/>
      <c r="I54" s="257"/>
    </row>
    <row r="55" spans="1:9" s="38" customFormat="1" ht="18.75" customHeight="1">
      <c r="A55" s="26">
        <v>482</v>
      </c>
      <c r="B55" s="31" t="s">
        <v>411</v>
      </c>
      <c r="C55" s="29"/>
      <c r="D55" s="134">
        <v>0</v>
      </c>
      <c r="E55" s="134">
        <f t="shared" si="0"/>
        <v>0</v>
      </c>
      <c r="F55" s="30" t="s">
        <v>428</v>
      </c>
      <c r="G55" s="134">
        <v>0</v>
      </c>
      <c r="H55" s="210"/>
    </row>
    <row r="56" spans="1:9" s="38" customFormat="1" ht="18.75" customHeight="1">
      <c r="A56" s="26">
        <v>483</v>
      </c>
      <c r="B56" s="31" t="s">
        <v>410</v>
      </c>
      <c r="C56" s="29"/>
      <c r="D56" s="134">
        <v>0</v>
      </c>
      <c r="E56" s="134">
        <f t="shared" si="0"/>
        <v>0</v>
      </c>
      <c r="F56" s="30" t="s">
        <v>428</v>
      </c>
      <c r="G56" s="134">
        <v>0</v>
      </c>
      <c r="H56" s="210"/>
    </row>
    <row r="57" spans="1:9" s="38" customFormat="1" ht="12.75">
      <c r="A57" s="26">
        <v>484</v>
      </c>
      <c r="B57" s="31" t="s">
        <v>400</v>
      </c>
      <c r="C57" s="29"/>
      <c r="D57" s="134">
        <v>21000000</v>
      </c>
      <c r="E57" s="134">
        <f t="shared" si="0"/>
        <v>0</v>
      </c>
      <c r="F57" s="30">
        <f>G57/D57-1</f>
        <v>0</v>
      </c>
      <c r="G57" s="134">
        <v>21000000</v>
      </c>
      <c r="H57" s="210"/>
    </row>
    <row r="58" spans="1:9" s="38" customFormat="1" ht="12.75">
      <c r="A58" s="26">
        <v>485</v>
      </c>
      <c r="B58" s="31" t="s">
        <v>409</v>
      </c>
      <c r="C58" s="29"/>
      <c r="D58" s="134">
        <v>0</v>
      </c>
      <c r="E58" s="134">
        <f t="shared" si="0"/>
        <v>0</v>
      </c>
      <c r="F58" s="30" t="s">
        <v>428</v>
      </c>
      <c r="G58" s="134">
        <v>0</v>
      </c>
      <c r="H58" s="210"/>
    </row>
    <row r="59" spans="1:9" s="37" customFormat="1" ht="12.75">
      <c r="A59" s="21">
        <v>4900</v>
      </c>
      <c r="B59" s="22" t="s">
        <v>237</v>
      </c>
      <c r="C59" s="24"/>
      <c r="D59" s="130">
        <f>SUM(D60:D62)</f>
        <v>0</v>
      </c>
      <c r="E59" s="130">
        <f t="shared" si="0"/>
        <v>6925000</v>
      </c>
      <c r="F59" s="25">
        <v>0</v>
      </c>
      <c r="G59" s="130">
        <f>SUM(G60:G62)</f>
        <v>6925000</v>
      </c>
      <c r="H59" s="209"/>
    </row>
    <row r="60" spans="1:9" s="38" customFormat="1" ht="12.75">
      <c r="A60" s="26">
        <v>491</v>
      </c>
      <c r="B60" s="31" t="s">
        <v>238</v>
      </c>
      <c r="C60" s="29"/>
      <c r="D60" s="134">
        <v>0</v>
      </c>
      <c r="E60" s="134">
        <f t="shared" si="0"/>
        <v>0</v>
      </c>
      <c r="F60" s="30" t="s">
        <v>428</v>
      </c>
      <c r="G60" s="134">
        <v>0</v>
      </c>
      <c r="H60" s="210"/>
    </row>
    <row r="61" spans="1:9" s="38" customFormat="1" ht="12.75">
      <c r="A61" s="26">
        <v>492</v>
      </c>
      <c r="B61" s="31" t="s">
        <v>239</v>
      </c>
      <c r="C61" s="29"/>
      <c r="D61" s="134">
        <v>0</v>
      </c>
      <c r="E61" s="134">
        <f t="shared" si="0"/>
        <v>6925000</v>
      </c>
      <c r="F61" s="30">
        <v>0</v>
      </c>
      <c r="G61" s="134">
        <f>2800000+4125000</f>
        <v>6925000</v>
      </c>
      <c r="H61" s="210"/>
    </row>
    <row r="62" spans="1:9" s="38" customFormat="1" ht="12.75">
      <c r="A62" s="26">
        <v>493</v>
      </c>
      <c r="B62" s="31" t="s">
        <v>240</v>
      </c>
      <c r="C62" s="29"/>
      <c r="D62" s="134">
        <v>0</v>
      </c>
      <c r="E62" s="134">
        <f t="shared" si="0"/>
        <v>0</v>
      </c>
      <c r="F62" s="30"/>
      <c r="G62" s="134">
        <v>0</v>
      </c>
      <c r="H62" s="210"/>
    </row>
  </sheetData>
  <sheetProtection selectLockedCells="1" selectUnlockedCells="1"/>
  <mergeCells count="7">
    <mergeCell ref="H54:I54"/>
    <mergeCell ref="G1:G2"/>
    <mergeCell ref="A1:A2"/>
    <mergeCell ref="B1:B2"/>
    <mergeCell ref="C1:C2"/>
    <mergeCell ref="D1:D2"/>
    <mergeCell ref="E1:F1"/>
  </mergeCells>
  <phoneticPr fontId="5" type="noConversion"/>
  <dataValidations count="1">
    <dataValidation type="whole" errorStyle="warning" operator="greaterThan" allowBlank="1" showInputMessage="1" showErrorMessage="1" errorTitle="IMPORTANTE" error="Se recomienda leer las instrucciones antes de inciar con el llenado del presupuesto por objeto del gasto" sqref="B1 D1:E1 G1">
      <formula1>0</formula1>
    </dataValidation>
  </dataValidations>
  <printOptions horizontalCentered="1"/>
  <pageMargins left="0" right="0" top="0.19685039370078741" bottom="0" header="0" footer="0"/>
  <pageSetup scale="75" fitToHeight="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I61"/>
  <sheetViews>
    <sheetView showGridLines="0" zoomScaleSheetLayoutView="78" workbookViewId="0">
      <pane xSplit="1" ySplit="3" topLeftCell="B4" activePane="bottomRight" state="frozen"/>
      <selection activeCell="B73" sqref="B73:B86"/>
      <selection pane="topRight" activeCell="B73" sqref="B73:B86"/>
      <selection pane="bottomLeft" activeCell="B73" sqref="B73:B86"/>
      <selection pane="bottomRight" activeCell="G1" sqref="G1:G2"/>
    </sheetView>
  </sheetViews>
  <sheetFormatPr baseColWidth="10" defaultColWidth="16.85546875" defaultRowHeight="15"/>
  <cols>
    <col min="1" max="1" width="10.85546875" style="2" customWidth="1"/>
    <col min="2" max="2" width="86.7109375" style="6" customWidth="1"/>
    <col min="3" max="3" width="12.85546875" style="7" hidden="1" customWidth="1"/>
    <col min="4" max="4" width="18.7109375" style="15" customWidth="1"/>
    <col min="5" max="5" width="15.7109375" style="17" customWidth="1"/>
    <col min="6" max="6" width="11.5703125" style="10" bestFit="1" customWidth="1"/>
    <col min="7" max="7" width="18.7109375" style="163" customWidth="1"/>
    <col min="8" max="8" width="16.85546875" style="193" customWidth="1"/>
    <col min="9" max="9" width="16.85546875" style="206"/>
  </cols>
  <sheetData>
    <row r="1" spans="1:9" s="64" customFormat="1" ht="18.75" customHeight="1" thickBot="1">
      <c r="A1" s="242" t="s">
        <v>0</v>
      </c>
      <c r="B1" s="244" t="s">
        <v>1</v>
      </c>
      <c r="C1" s="254" t="s">
        <v>419</v>
      </c>
      <c r="D1" s="248" t="s">
        <v>429</v>
      </c>
      <c r="E1" s="250" t="s">
        <v>427</v>
      </c>
      <c r="F1" s="251"/>
      <c r="G1" s="248" t="s">
        <v>436</v>
      </c>
      <c r="H1" s="188"/>
      <c r="I1" s="202"/>
    </row>
    <row r="2" spans="1:9" s="64" customFormat="1" ht="33" customHeight="1" thickBot="1">
      <c r="A2" s="243"/>
      <c r="B2" s="245"/>
      <c r="C2" s="255"/>
      <c r="D2" s="249"/>
      <c r="E2" s="65" t="s">
        <v>420</v>
      </c>
      <c r="F2" s="65" t="s">
        <v>421</v>
      </c>
      <c r="G2" s="249"/>
      <c r="H2" s="188"/>
      <c r="I2" s="202"/>
    </row>
    <row r="3" spans="1:9" s="36" customFormat="1" ht="24.95" customHeight="1">
      <c r="A3" s="59">
        <v>5000</v>
      </c>
      <c r="B3" s="60" t="s">
        <v>241</v>
      </c>
      <c r="C3" s="61"/>
      <c r="D3" s="133">
        <f>D4+D11+D16+D19+D26+D28+D37+D47+D52</f>
        <v>214530269.5</v>
      </c>
      <c r="E3" s="133">
        <f>G3-D3</f>
        <v>-63249999</v>
      </c>
      <c r="F3" s="63">
        <f t="shared" ref="F3:F20" si="0">G3/D3-1</f>
        <v>-0.29483018479124223</v>
      </c>
      <c r="G3" s="133">
        <f>G4+G11+G16+G19+G26+G28+G37+G47+G52</f>
        <v>151280270.5</v>
      </c>
      <c r="H3" s="189"/>
      <c r="I3" s="203"/>
    </row>
    <row r="4" spans="1:9" s="37" customFormat="1" ht="21.95" customHeight="1">
      <c r="A4" s="21">
        <v>5100</v>
      </c>
      <c r="B4" s="22" t="s">
        <v>242</v>
      </c>
      <c r="C4" s="23"/>
      <c r="D4" s="130">
        <f>SUM(D5:D10)</f>
        <v>12822749</v>
      </c>
      <c r="E4" s="130">
        <f t="shared" ref="E4:E61" si="1">G4-D4</f>
        <v>-6000000</v>
      </c>
      <c r="F4" s="25">
        <f t="shared" si="0"/>
        <v>-0.46791838473949698</v>
      </c>
      <c r="G4" s="130">
        <f>SUM(G5:G10)</f>
        <v>6822749</v>
      </c>
      <c r="H4" s="190"/>
      <c r="I4" s="204"/>
    </row>
    <row r="5" spans="1:9" s="38" customFormat="1" ht="30.75" customHeight="1">
      <c r="A5" s="26">
        <v>511</v>
      </c>
      <c r="B5" s="27" t="s">
        <v>243</v>
      </c>
      <c r="C5" s="28"/>
      <c r="D5" s="131">
        <v>2500000</v>
      </c>
      <c r="E5" s="134">
        <f t="shared" si="1"/>
        <v>-500000</v>
      </c>
      <c r="F5" s="30">
        <f t="shared" si="0"/>
        <v>-0.19999999999999996</v>
      </c>
      <c r="G5" s="131">
        <f>2000000</f>
        <v>2000000</v>
      </c>
      <c r="H5" s="266"/>
      <c r="I5" s="267"/>
    </row>
    <row r="6" spans="1:9" s="38" customFormat="1" ht="18.75" customHeight="1">
      <c r="A6" s="26">
        <v>512</v>
      </c>
      <c r="B6" s="27" t="s">
        <v>244</v>
      </c>
      <c r="C6" s="28"/>
      <c r="D6" s="131">
        <v>106749</v>
      </c>
      <c r="E6" s="134">
        <f t="shared" si="1"/>
        <v>0</v>
      </c>
      <c r="F6" s="30">
        <f t="shared" si="0"/>
        <v>0</v>
      </c>
      <c r="G6" s="131">
        <v>106749</v>
      </c>
      <c r="H6" s="191"/>
      <c r="I6" s="205"/>
    </row>
    <row r="7" spans="1:9" s="38" customFormat="1" ht="18.75" customHeight="1">
      <c r="A7" s="26">
        <v>513</v>
      </c>
      <c r="B7" s="27" t="s">
        <v>245</v>
      </c>
      <c r="C7" s="28"/>
      <c r="D7" s="131">
        <v>116000</v>
      </c>
      <c r="E7" s="134">
        <f t="shared" si="1"/>
        <v>0</v>
      </c>
      <c r="F7" s="30">
        <f t="shared" si="0"/>
        <v>0</v>
      </c>
      <c r="G7" s="131">
        <f>116000</f>
        <v>116000</v>
      </c>
      <c r="H7" s="262"/>
      <c r="I7" s="263"/>
    </row>
    <row r="8" spans="1:9" s="38" customFormat="1" ht="18.75" customHeight="1">
      <c r="A8" s="26">
        <v>514</v>
      </c>
      <c r="B8" s="27" t="s">
        <v>246</v>
      </c>
      <c r="C8" s="28"/>
      <c r="D8" s="131">
        <v>0</v>
      </c>
      <c r="E8" s="134">
        <f t="shared" si="1"/>
        <v>0</v>
      </c>
      <c r="F8" s="30" t="s">
        <v>428</v>
      </c>
      <c r="G8" s="131">
        <v>0</v>
      </c>
      <c r="H8" s="191"/>
      <c r="I8" s="205"/>
    </row>
    <row r="9" spans="1:9" s="38" customFormat="1" ht="18.75" customHeight="1">
      <c r="A9" s="26">
        <v>515</v>
      </c>
      <c r="B9" s="27" t="s">
        <v>247</v>
      </c>
      <c r="C9" s="28"/>
      <c r="D9" s="131">
        <v>10000000</v>
      </c>
      <c r="E9" s="134">
        <f t="shared" si="1"/>
        <v>-5500000</v>
      </c>
      <c r="F9" s="30">
        <f t="shared" si="0"/>
        <v>-0.55000000000000004</v>
      </c>
      <c r="G9" s="131">
        <f>10000000-5500000</f>
        <v>4500000</v>
      </c>
      <c r="H9" s="262"/>
      <c r="I9" s="263"/>
    </row>
    <row r="10" spans="1:9" s="38" customFormat="1" ht="18.75" customHeight="1">
      <c r="A10" s="26">
        <v>519</v>
      </c>
      <c r="B10" s="27" t="s">
        <v>248</v>
      </c>
      <c r="C10" s="28"/>
      <c r="D10" s="131">
        <v>100000</v>
      </c>
      <c r="E10" s="134">
        <f t="shared" si="1"/>
        <v>0</v>
      </c>
      <c r="F10" s="30">
        <f t="shared" si="0"/>
        <v>0</v>
      </c>
      <c r="G10" s="131">
        <v>100000</v>
      </c>
      <c r="H10" s="191"/>
      <c r="I10" s="205"/>
    </row>
    <row r="11" spans="1:9" s="37" customFormat="1" ht="21.95" customHeight="1">
      <c r="A11" s="21">
        <v>5200</v>
      </c>
      <c r="B11" s="22" t="s">
        <v>249</v>
      </c>
      <c r="C11" s="23"/>
      <c r="D11" s="130">
        <v>2200000</v>
      </c>
      <c r="E11" s="130">
        <f t="shared" si="1"/>
        <v>-987500</v>
      </c>
      <c r="F11" s="25">
        <f t="shared" si="0"/>
        <v>-0.44886363636363635</v>
      </c>
      <c r="G11" s="130">
        <f>SUM(G12:G15)</f>
        <v>1212500</v>
      </c>
      <c r="H11" s="190"/>
      <c r="I11" s="204"/>
    </row>
    <row r="12" spans="1:9" s="38" customFormat="1" ht="24.75" customHeight="1">
      <c r="A12" s="26">
        <v>521</v>
      </c>
      <c r="B12" s="27" t="s">
        <v>250</v>
      </c>
      <c r="C12" s="28"/>
      <c r="D12" s="131">
        <v>0</v>
      </c>
      <c r="E12" s="134">
        <f t="shared" si="1"/>
        <v>12500</v>
      </c>
      <c r="F12" s="30" t="s">
        <v>428</v>
      </c>
      <c r="G12" s="131">
        <v>12500</v>
      </c>
      <c r="H12" s="266"/>
      <c r="I12" s="267"/>
    </row>
    <row r="13" spans="1:9" s="38" customFormat="1" ht="18.75" customHeight="1">
      <c r="A13" s="26">
        <v>522</v>
      </c>
      <c r="B13" s="27" t="s">
        <v>251</v>
      </c>
      <c r="C13" s="28"/>
      <c r="D13" s="131">
        <v>0</v>
      </c>
      <c r="E13" s="134">
        <f t="shared" si="1"/>
        <v>0</v>
      </c>
      <c r="F13" s="30" t="s">
        <v>428</v>
      </c>
      <c r="G13" s="131">
        <v>0</v>
      </c>
      <c r="H13" s="192"/>
      <c r="I13" s="205"/>
    </row>
    <row r="14" spans="1:9" s="38" customFormat="1" ht="18.75" customHeight="1">
      <c r="A14" s="26">
        <v>523</v>
      </c>
      <c r="B14" s="27" t="s">
        <v>252</v>
      </c>
      <c r="C14" s="28"/>
      <c r="D14" s="131">
        <v>2000000</v>
      </c>
      <c r="E14" s="134">
        <f t="shared" si="1"/>
        <v>-1000000</v>
      </c>
      <c r="F14" s="30">
        <f t="shared" si="0"/>
        <v>-0.5</v>
      </c>
      <c r="G14" s="131">
        <f>2000000-1000000</f>
        <v>1000000</v>
      </c>
      <c r="H14" s="264"/>
      <c r="I14" s="265"/>
    </row>
    <row r="15" spans="1:9" s="38" customFormat="1" ht="18.75" customHeight="1">
      <c r="A15" s="26">
        <v>529</v>
      </c>
      <c r="B15" s="27" t="s">
        <v>253</v>
      </c>
      <c r="C15" s="28"/>
      <c r="D15" s="131">
        <v>200000</v>
      </c>
      <c r="E15" s="134">
        <f t="shared" si="1"/>
        <v>0</v>
      </c>
      <c r="F15" s="30">
        <f t="shared" si="0"/>
        <v>0</v>
      </c>
      <c r="G15" s="131">
        <v>200000</v>
      </c>
      <c r="H15" s="191"/>
      <c r="I15" s="205"/>
    </row>
    <row r="16" spans="1:9" s="37" customFormat="1" ht="21.95" customHeight="1">
      <c r="A16" s="21">
        <v>5300</v>
      </c>
      <c r="B16" s="22" t="s">
        <v>254</v>
      </c>
      <c r="C16" s="23"/>
      <c r="D16" s="130">
        <v>50000</v>
      </c>
      <c r="E16" s="130">
        <f t="shared" si="1"/>
        <v>0</v>
      </c>
      <c r="F16" s="25">
        <f t="shared" si="0"/>
        <v>0</v>
      </c>
      <c r="G16" s="130">
        <f>SUM(G17:G18)</f>
        <v>50000</v>
      </c>
      <c r="H16" s="190"/>
      <c r="I16" s="204"/>
    </row>
    <row r="17" spans="1:9" s="38" customFormat="1" ht="18.75" customHeight="1">
      <c r="A17" s="26">
        <v>531</v>
      </c>
      <c r="B17" s="27" t="s">
        <v>255</v>
      </c>
      <c r="C17" s="28"/>
      <c r="D17" s="131">
        <v>0</v>
      </c>
      <c r="E17" s="134">
        <f t="shared" si="1"/>
        <v>0</v>
      </c>
      <c r="F17" s="30" t="s">
        <v>428</v>
      </c>
      <c r="G17" s="131">
        <v>0</v>
      </c>
      <c r="H17" s="191"/>
      <c r="I17" s="205"/>
    </row>
    <row r="18" spans="1:9" s="38" customFormat="1" ht="18.75" customHeight="1">
      <c r="A18" s="26">
        <v>532</v>
      </c>
      <c r="B18" s="27" t="s">
        <v>256</v>
      </c>
      <c r="C18" s="28"/>
      <c r="D18" s="131">
        <v>50000</v>
      </c>
      <c r="E18" s="134">
        <f t="shared" si="1"/>
        <v>0</v>
      </c>
      <c r="F18" s="30">
        <f t="shared" si="0"/>
        <v>0</v>
      </c>
      <c r="G18" s="131">
        <v>50000</v>
      </c>
      <c r="H18" s="191"/>
      <c r="I18" s="205"/>
    </row>
    <row r="19" spans="1:9" s="37" customFormat="1" ht="21.95" customHeight="1">
      <c r="A19" s="21">
        <v>5400</v>
      </c>
      <c r="B19" s="22" t="s">
        <v>257</v>
      </c>
      <c r="C19" s="23"/>
      <c r="D19" s="130">
        <f>SUM(D20:D25)</f>
        <v>5000000</v>
      </c>
      <c r="E19" s="130">
        <f t="shared" si="1"/>
        <v>3126388</v>
      </c>
      <c r="F19" s="25">
        <f t="shared" si="0"/>
        <v>0.62527759999999999</v>
      </c>
      <c r="G19" s="130">
        <f>SUM(G20:G25)</f>
        <v>8126388</v>
      </c>
      <c r="H19" s="190"/>
      <c r="I19" s="204"/>
    </row>
    <row r="20" spans="1:9" s="38" customFormat="1" ht="18.75" customHeight="1">
      <c r="A20" s="26">
        <v>541</v>
      </c>
      <c r="B20" s="27" t="s">
        <v>258</v>
      </c>
      <c r="C20" s="28" t="s">
        <v>259</v>
      </c>
      <c r="D20" s="131">
        <v>5000000</v>
      </c>
      <c r="E20" s="134">
        <f t="shared" si="1"/>
        <v>0</v>
      </c>
      <c r="F20" s="30">
        <f t="shared" si="0"/>
        <v>0</v>
      </c>
      <c r="G20" s="131">
        <v>5000000</v>
      </c>
      <c r="H20" s="262"/>
      <c r="I20" s="263"/>
    </row>
    <row r="21" spans="1:9" s="38" customFormat="1" ht="18.75" customHeight="1">
      <c r="A21" s="26">
        <v>542</v>
      </c>
      <c r="B21" s="27" t="s">
        <v>260</v>
      </c>
      <c r="C21" s="28"/>
      <c r="D21" s="131">
        <v>0</v>
      </c>
      <c r="E21" s="134">
        <f t="shared" si="1"/>
        <v>3126388</v>
      </c>
      <c r="F21" s="30" t="s">
        <v>428</v>
      </c>
      <c r="G21" s="131">
        <v>3126388</v>
      </c>
      <c r="H21" s="191"/>
      <c r="I21" s="205"/>
    </row>
    <row r="22" spans="1:9" s="38" customFormat="1" ht="18.75" customHeight="1">
      <c r="A22" s="26">
        <v>543</v>
      </c>
      <c r="B22" s="27" t="s">
        <v>261</v>
      </c>
      <c r="C22" s="28"/>
      <c r="D22" s="131">
        <v>0</v>
      </c>
      <c r="E22" s="134">
        <f t="shared" si="1"/>
        <v>0</v>
      </c>
      <c r="F22" s="30" t="s">
        <v>428</v>
      </c>
      <c r="G22" s="131">
        <v>0</v>
      </c>
      <c r="H22" s="191"/>
      <c r="I22" s="205"/>
    </row>
    <row r="23" spans="1:9" s="38" customFormat="1" ht="18.75" customHeight="1">
      <c r="A23" s="26">
        <v>544</v>
      </c>
      <c r="B23" s="27" t="s">
        <v>262</v>
      </c>
      <c r="C23" s="28"/>
      <c r="D23" s="131">
        <v>0</v>
      </c>
      <c r="E23" s="134">
        <f t="shared" si="1"/>
        <v>0</v>
      </c>
      <c r="F23" s="30" t="s">
        <v>428</v>
      </c>
      <c r="G23" s="131">
        <v>0</v>
      </c>
      <c r="H23" s="191"/>
      <c r="I23" s="205"/>
    </row>
    <row r="24" spans="1:9" s="38" customFormat="1" ht="18.75" customHeight="1">
      <c r="A24" s="26">
        <v>545</v>
      </c>
      <c r="B24" s="27" t="s">
        <v>263</v>
      </c>
      <c r="C24" s="28"/>
      <c r="D24" s="131">
        <v>0</v>
      </c>
      <c r="E24" s="134">
        <f t="shared" si="1"/>
        <v>0</v>
      </c>
      <c r="F24" s="30" t="s">
        <v>428</v>
      </c>
      <c r="G24" s="131">
        <v>0</v>
      </c>
      <c r="H24" s="191"/>
      <c r="I24" s="205"/>
    </row>
    <row r="25" spans="1:9" s="38" customFormat="1" ht="18.75" customHeight="1">
      <c r="A25" s="26">
        <v>549</v>
      </c>
      <c r="B25" s="27" t="s">
        <v>264</v>
      </c>
      <c r="C25" s="28"/>
      <c r="D25" s="131">
        <v>0</v>
      </c>
      <c r="E25" s="134">
        <f t="shared" si="1"/>
        <v>0</v>
      </c>
      <c r="F25" s="30" t="s">
        <v>428</v>
      </c>
      <c r="G25" s="131">
        <v>0</v>
      </c>
      <c r="H25" s="191"/>
      <c r="I25" s="205"/>
    </row>
    <row r="26" spans="1:9" s="37" customFormat="1" ht="21.95" customHeight="1">
      <c r="A26" s="21">
        <v>5500</v>
      </c>
      <c r="B26" s="22" t="s">
        <v>265</v>
      </c>
      <c r="C26" s="23"/>
      <c r="D26" s="130">
        <v>877251</v>
      </c>
      <c r="E26" s="130">
        <f t="shared" si="1"/>
        <v>-391700</v>
      </c>
      <c r="F26" s="25">
        <f>G26/D26-1</f>
        <v>-0.44650846792993115</v>
      </c>
      <c r="G26" s="130">
        <f>SUM(G27)</f>
        <v>485551</v>
      </c>
      <c r="H26" s="190"/>
      <c r="I26" s="204"/>
    </row>
    <row r="27" spans="1:9" s="38" customFormat="1" ht="18.75" customHeight="1">
      <c r="A27" s="26">
        <v>551</v>
      </c>
      <c r="B27" s="27" t="s">
        <v>266</v>
      </c>
      <c r="C27" s="28"/>
      <c r="D27" s="131">
        <v>877251</v>
      </c>
      <c r="E27" s="134">
        <f t="shared" si="1"/>
        <v>-391700</v>
      </c>
      <c r="F27" s="30">
        <f>G27/D27-1</f>
        <v>-0.44650846792993115</v>
      </c>
      <c r="G27" s="131">
        <f>877251-391700</f>
        <v>485551</v>
      </c>
      <c r="H27" s="191"/>
      <c r="I27" s="205"/>
    </row>
    <row r="28" spans="1:9" s="37" customFormat="1" ht="21.95" customHeight="1">
      <c r="A28" s="21">
        <v>5600</v>
      </c>
      <c r="B28" s="22" t="s">
        <v>267</v>
      </c>
      <c r="C28" s="23"/>
      <c r="D28" s="130">
        <f>SUM(D29:D36)</f>
        <v>23849826</v>
      </c>
      <c r="E28" s="130">
        <f t="shared" si="1"/>
        <v>-11393020</v>
      </c>
      <c r="F28" s="25">
        <f>G28/D28-1</f>
        <v>-0.47769824400396044</v>
      </c>
      <c r="G28" s="130">
        <f>SUM(G29:G36)</f>
        <v>12456806</v>
      </c>
      <c r="H28" s="190"/>
      <c r="I28" s="204"/>
    </row>
    <row r="29" spans="1:9" s="38" customFormat="1" ht="18.75" customHeight="1">
      <c r="A29" s="26">
        <v>561</v>
      </c>
      <c r="B29" s="27" t="s">
        <v>268</v>
      </c>
      <c r="C29" s="28"/>
      <c r="D29" s="131">
        <v>2500000</v>
      </c>
      <c r="E29" s="134">
        <f t="shared" si="1"/>
        <v>826000</v>
      </c>
      <c r="F29" s="30">
        <f t="shared" ref="F29:F35" si="2">G29/D29-1</f>
        <v>0.33040000000000003</v>
      </c>
      <c r="G29" s="131">
        <f>D29+826000</f>
        <v>3326000</v>
      </c>
      <c r="H29" s="262"/>
      <c r="I29" s="263"/>
    </row>
    <row r="30" spans="1:9" s="38" customFormat="1" ht="18.75" customHeight="1">
      <c r="A30" s="26">
        <v>562</v>
      </c>
      <c r="B30" s="27" t="s">
        <v>269</v>
      </c>
      <c r="C30" s="28"/>
      <c r="D30" s="131">
        <v>20000000</v>
      </c>
      <c r="E30" s="134">
        <f t="shared" si="1"/>
        <v>-14500000</v>
      </c>
      <c r="F30" s="30">
        <f t="shared" si="2"/>
        <v>-0.72499999999999998</v>
      </c>
      <c r="G30" s="131">
        <f>D30-6500000-8000000</f>
        <v>5500000</v>
      </c>
      <c r="H30" s="191"/>
      <c r="I30" s="205"/>
    </row>
    <row r="31" spans="1:9" s="38" customFormat="1" ht="18.75" customHeight="1">
      <c r="A31" s="26">
        <v>563</v>
      </c>
      <c r="B31" s="27" t="s">
        <v>270</v>
      </c>
      <c r="C31" s="28"/>
      <c r="D31" s="131">
        <v>0</v>
      </c>
      <c r="E31" s="134">
        <f t="shared" si="1"/>
        <v>0</v>
      </c>
      <c r="F31" s="30" t="s">
        <v>428</v>
      </c>
      <c r="G31" s="131">
        <v>0</v>
      </c>
      <c r="H31" s="191"/>
      <c r="I31" s="205"/>
    </row>
    <row r="32" spans="1:9" s="38" customFormat="1" ht="18.75" customHeight="1">
      <c r="A32" s="26">
        <v>564</v>
      </c>
      <c r="B32" s="31" t="s">
        <v>271</v>
      </c>
      <c r="C32" s="28"/>
      <c r="D32" s="131">
        <v>0</v>
      </c>
      <c r="E32" s="134">
        <f t="shared" si="1"/>
        <v>0</v>
      </c>
      <c r="F32" s="30" t="s">
        <v>428</v>
      </c>
      <c r="G32" s="131">
        <v>0</v>
      </c>
      <c r="H32" s="191"/>
      <c r="I32" s="205"/>
    </row>
    <row r="33" spans="1:9" s="38" customFormat="1" ht="18.75" customHeight="1">
      <c r="A33" s="26">
        <v>565</v>
      </c>
      <c r="B33" s="27" t="s">
        <v>272</v>
      </c>
      <c r="C33" s="28"/>
      <c r="D33" s="131">
        <v>0</v>
      </c>
      <c r="E33" s="134">
        <f t="shared" si="1"/>
        <v>0</v>
      </c>
      <c r="F33" s="30" t="s">
        <v>428</v>
      </c>
      <c r="G33" s="131">
        <v>0</v>
      </c>
      <c r="H33" s="191"/>
      <c r="I33" s="205"/>
    </row>
    <row r="34" spans="1:9" s="38" customFormat="1" ht="18.75" customHeight="1">
      <c r="A34" s="26">
        <v>566</v>
      </c>
      <c r="B34" s="27" t="s">
        <v>273</v>
      </c>
      <c r="C34" s="28"/>
      <c r="D34" s="131">
        <v>0</v>
      </c>
      <c r="E34" s="134">
        <f t="shared" si="1"/>
        <v>2280980</v>
      </c>
      <c r="F34" s="30" t="s">
        <v>428</v>
      </c>
      <c r="G34" s="131">
        <f>280980+2000000</f>
        <v>2280980</v>
      </c>
      <c r="H34" s="262"/>
      <c r="I34" s="263"/>
    </row>
    <row r="35" spans="1:9" s="38" customFormat="1" ht="18.75" customHeight="1">
      <c r="A35" s="26">
        <v>567</v>
      </c>
      <c r="B35" s="27" t="s">
        <v>274</v>
      </c>
      <c r="C35" s="28"/>
      <c r="D35" s="131">
        <v>1349826</v>
      </c>
      <c r="E35" s="134">
        <f t="shared" si="1"/>
        <v>0</v>
      </c>
      <c r="F35" s="30">
        <f t="shared" si="2"/>
        <v>0</v>
      </c>
      <c r="G35" s="131">
        <f>D35</f>
        <v>1349826</v>
      </c>
      <c r="H35" s="262"/>
      <c r="I35" s="263"/>
    </row>
    <row r="36" spans="1:9" s="38" customFormat="1" ht="18.75" customHeight="1">
      <c r="A36" s="26">
        <v>569</v>
      </c>
      <c r="B36" s="27" t="s">
        <v>275</v>
      </c>
      <c r="C36" s="28"/>
      <c r="D36" s="131">
        <v>0</v>
      </c>
      <c r="E36" s="134">
        <f t="shared" si="1"/>
        <v>0</v>
      </c>
      <c r="F36" s="30" t="s">
        <v>428</v>
      </c>
      <c r="G36" s="131">
        <v>0</v>
      </c>
      <c r="H36" s="191"/>
      <c r="I36" s="205"/>
    </row>
    <row r="37" spans="1:9" s="37" customFormat="1" ht="21.95" customHeight="1">
      <c r="A37" s="21">
        <v>5700</v>
      </c>
      <c r="B37" s="22" t="s">
        <v>276</v>
      </c>
      <c r="C37" s="23"/>
      <c r="D37" s="130">
        <f>SUM(D38:D46)</f>
        <v>500000</v>
      </c>
      <c r="E37" s="130">
        <f t="shared" si="1"/>
        <v>0</v>
      </c>
      <c r="F37" s="25">
        <v>0</v>
      </c>
      <c r="G37" s="130">
        <f>SUM(G38:G46)</f>
        <v>500000</v>
      </c>
      <c r="H37" s="190"/>
      <c r="I37" s="204"/>
    </row>
    <row r="38" spans="1:9" s="38" customFormat="1" ht="18.75" customHeight="1">
      <c r="A38" s="26">
        <v>571</v>
      </c>
      <c r="B38" s="27" t="s">
        <v>277</v>
      </c>
      <c r="C38" s="28"/>
      <c r="D38" s="131">
        <v>0</v>
      </c>
      <c r="E38" s="134">
        <f t="shared" si="1"/>
        <v>0</v>
      </c>
      <c r="F38" s="30" t="s">
        <v>428</v>
      </c>
      <c r="G38" s="131">
        <v>0</v>
      </c>
      <c r="H38" s="191"/>
      <c r="I38" s="205"/>
    </row>
    <row r="39" spans="1:9" s="38" customFormat="1" ht="18.75" customHeight="1">
      <c r="A39" s="26">
        <v>572</v>
      </c>
      <c r="B39" s="27" t="s">
        <v>278</v>
      </c>
      <c r="C39" s="28"/>
      <c r="D39" s="131">
        <v>0</v>
      </c>
      <c r="E39" s="134">
        <f t="shared" si="1"/>
        <v>0</v>
      </c>
      <c r="F39" s="30" t="s">
        <v>428</v>
      </c>
      <c r="G39" s="131">
        <v>0</v>
      </c>
      <c r="H39" s="191"/>
      <c r="I39" s="205"/>
    </row>
    <row r="40" spans="1:9" s="38" customFormat="1" ht="18.75" customHeight="1">
      <c r="A40" s="26">
        <v>573</v>
      </c>
      <c r="B40" s="27" t="s">
        <v>279</v>
      </c>
      <c r="C40" s="28"/>
      <c r="D40" s="131">
        <v>0</v>
      </c>
      <c r="E40" s="134">
        <f t="shared" si="1"/>
        <v>0</v>
      </c>
      <c r="F40" s="30" t="s">
        <v>428</v>
      </c>
      <c r="G40" s="131">
        <v>0</v>
      </c>
      <c r="H40" s="191"/>
      <c r="I40" s="205"/>
    </row>
    <row r="41" spans="1:9" s="38" customFormat="1" ht="18.75" customHeight="1">
      <c r="A41" s="26">
        <v>574</v>
      </c>
      <c r="B41" s="27" t="s">
        <v>280</v>
      </c>
      <c r="C41" s="28"/>
      <c r="D41" s="131">
        <v>0</v>
      </c>
      <c r="E41" s="134">
        <f t="shared" si="1"/>
        <v>0</v>
      </c>
      <c r="F41" s="30" t="s">
        <v>428</v>
      </c>
      <c r="G41" s="131">
        <v>0</v>
      </c>
      <c r="H41" s="191"/>
      <c r="I41" s="205"/>
    </row>
    <row r="42" spans="1:9" s="38" customFormat="1" ht="18.75" customHeight="1">
      <c r="A42" s="26">
        <v>575</v>
      </c>
      <c r="B42" s="27" t="s">
        <v>281</v>
      </c>
      <c r="C42" s="28"/>
      <c r="D42" s="131">
        <v>0</v>
      </c>
      <c r="E42" s="134">
        <f t="shared" si="1"/>
        <v>0</v>
      </c>
      <c r="F42" s="30" t="s">
        <v>428</v>
      </c>
      <c r="G42" s="131">
        <v>0</v>
      </c>
      <c r="H42" s="191"/>
      <c r="I42" s="205"/>
    </row>
    <row r="43" spans="1:9" s="38" customFormat="1" ht="18.75" customHeight="1">
      <c r="A43" s="26">
        <v>576</v>
      </c>
      <c r="B43" s="27" t="s">
        <v>282</v>
      </c>
      <c r="C43" s="28"/>
      <c r="D43" s="131">
        <v>0</v>
      </c>
      <c r="E43" s="134">
        <f t="shared" si="1"/>
        <v>0</v>
      </c>
      <c r="F43" s="30" t="s">
        <v>428</v>
      </c>
      <c r="G43" s="131">
        <v>0</v>
      </c>
      <c r="H43" s="191"/>
      <c r="I43" s="205"/>
    </row>
    <row r="44" spans="1:9" s="38" customFormat="1" ht="18.75" customHeight="1">
      <c r="A44" s="26">
        <v>577</v>
      </c>
      <c r="B44" s="27" t="s">
        <v>283</v>
      </c>
      <c r="C44" s="28"/>
      <c r="D44" s="131">
        <v>0</v>
      </c>
      <c r="E44" s="134">
        <f t="shared" si="1"/>
        <v>0</v>
      </c>
      <c r="F44" s="30" t="s">
        <v>428</v>
      </c>
      <c r="G44" s="131">
        <v>0</v>
      </c>
      <c r="H44" s="191"/>
      <c r="I44" s="205"/>
    </row>
    <row r="45" spans="1:9" s="38" customFormat="1" ht="18.75" customHeight="1">
      <c r="A45" s="26">
        <v>578</v>
      </c>
      <c r="B45" s="27" t="s">
        <v>284</v>
      </c>
      <c r="C45" s="28"/>
      <c r="D45" s="131">
        <v>500000</v>
      </c>
      <c r="E45" s="134">
        <f t="shared" si="1"/>
        <v>0</v>
      </c>
      <c r="F45" s="30">
        <v>0</v>
      </c>
      <c r="G45" s="131">
        <f>500000</f>
        <v>500000</v>
      </c>
      <c r="H45" s="191"/>
      <c r="I45" s="205"/>
    </row>
    <row r="46" spans="1:9" s="38" customFormat="1" ht="18.75" customHeight="1">
      <c r="A46" s="26">
        <v>579</v>
      </c>
      <c r="B46" s="27" t="s">
        <v>285</v>
      </c>
      <c r="C46" s="28"/>
      <c r="D46" s="131">
        <v>0</v>
      </c>
      <c r="E46" s="134">
        <f t="shared" si="1"/>
        <v>0</v>
      </c>
      <c r="F46" s="30" t="s">
        <v>428</v>
      </c>
      <c r="G46" s="131">
        <v>0</v>
      </c>
      <c r="H46" s="191"/>
      <c r="I46" s="205"/>
    </row>
    <row r="47" spans="1:9" s="37" customFormat="1" ht="21.95" customHeight="1">
      <c r="A47" s="21">
        <v>5800</v>
      </c>
      <c r="B47" s="22" t="s">
        <v>286</v>
      </c>
      <c r="C47" s="23"/>
      <c r="D47" s="130">
        <f>SUM(D48:D51)</f>
        <v>105000000</v>
      </c>
      <c r="E47" s="130">
        <f t="shared" si="1"/>
        <v>-76495302</v>
      </c>
      <c r="F47" s="25">
        <f t="shared" ref="F47" si="3">G47/D47-1</f>
        <v>-0.72852668571428569</v>
      </c>
      <c r="G47" s="130">
        <f>SUM(G48:G51)</f>
        <v>28504698</v>
      </c>
      <c r="H47" s="190"/>
      <c r="I47" s="204"/>
    </row>
    <row r="48" spans="1:9" s="38" customFormat="1" ht="18.75" customHeight="1">
      <c r="A48" s="26">
        <v>581</v>
      </c>
      <c r="B48" s="27" t="s">
        <v>287</v>
      </c>
      <c r="C48" s="28"/>
      <c r="D48" s="131">
        <v>0</v>
      </c>
      <c r="E48" s="134">
        <f t="shared" si="1"/>
        <v>2000000</v>
      </c>
      <c r="F48" s="30" t="s">
        <v>428</v>
      </c>
      <c r="G48" s="131">
        <v>2000000</v>
      </c>
      <c r="H48" s="260"/>
      <c r="I48" s="261"/>
    </row>
    <row r="49" spans="1:9" s="38" customFormat="1" ht="21.75" customHeight="1">
      <c r="A49" s="26">
        <v>582</v>
      </c>
      <c r="B49" s="27" t="s">
        <v>288</v>
      </c>
      <c r="C49" s="28"/>
      <c r="D49" s="131">
        <v>0</v>
      </c>
      <c r="E49" s="134">
        <f t="shared" si="1"/>
        <v>0</v>
      </c>
      <c r="F49" s="30" t="s">
        <v>428</v>
      </c>
      <c r="G49" s="131">
        <v>0</v>
      </c>
      <c r="H49" s="260"/>
      <c r="I49" s="261"/>
    </row>
    <row r="50" spans="1:9" s="38" customFormat="1" ht="18.75" customHeight="1">
      <c r="A50" s="26">
        <v>583</v>
      </c>
      <c r="B50" s="27" t="s">
        <v>289</v>
      </c>
      <c r="C50" s="28"/>
      <c r="D50" s="131">
        <v>105000000</v>
      </c>
      <c r="E50" s="134">
        <f t="shared" si="1"/>
        <v>-82530802</v>
      </c>
      <c r="F50" s="30">
        <f t="shared" ref="F50" si="4">G50/D50-1</f>
        <v>-0.7860076380952381</v>
      </c>
      <c r="G50" s="131">
        <f>105000000-53057000-29189720-753280+469198</f>
        <v>22469198</v>
      </c>
      <c r="H50" s="260"/>
      <c r="I50" s="261"/>
    </row>
    <row r="51" spans="1:9" s="38" customFormat="1" ht="18.75" customHeight="1">
      <c r="A51" s="26">
        <v>589</v>
      </c>
      <c r="B51" s="27" t="s">
        <v>290</v>
      </c>
      <c r="C51" s="28"/>
      <c r="D51" s="131">
        <v>0</v>
      </c>
      <c r="E51" s="134">
        <f t="shared" si="1"/>
        <v>4035500</v>
      </c>
      <c r="F51" s="30" t="s">
        <v>428</v>
      </c>
      <c r="G51" s="131">
        <f>3370000+665500</f>
        <v>4035500</v>
      </c>
      <c r="H51" s="260"/>
      <c r="I51" s="261"/>
    </row>
    <row r="52" spans="1:9" s="37" customFormat="1" ht="21.95" customHeight="1">
      <c r="A52" s="21">
        <v>5900</v>
      </c>
      <c r="B52" s="22" t="s">
        <v>291</v>
      </c>
      <c r="C52" s="23"/>
      <c r="D52" s="130">
        <f>SUM(D53:D61)</f>
        <v>64230443.5</v>
      </c>
      <c r="E52" s="130">
        <f t="shared" si="1"/>
        <v>28891135</v>
      </c>
      <c r="F52" s="25">
        <f t="shared" ref="F52" si="5">G52/D52-1</f>
        <v>0.44980438287025071</v>
      </c>
      <c r="G52" s="130">
        <f>SUM(G53:G61)</f>
        <v>93121578.5</v>
      </c>
      <c r="H52" s="190"/>
      <c r="I52" s="204"/>
    </row>
    <row r="53" spans="1:9" s="38" customFormat="1" ht="29.25" customHeight="1">
      <c r="A53" s="26">
        <v>591</v>
      </c>
      <c r="B53" s="27" t="s">
        <v>292</v>
      </c>
      <c r="C53" s="28"/>
      <c r="D53" s="131">
        <v>30230443.5</v>
      </c>
      <c r="E53" s="134">
        <f t="shared" si="1"/>
        <v>49891135</v>
      </c>
      <c r="F53" s="30">
        <f>G53/D53-1</f>
        <v>1.6503606703619811</v>
      </c>
      <c r="G53" s="131">
        <f>D53-500000+21000000+29189720+17489362-17287947</f>
        <v>80121578.5</v>
      </c>
      <c r="H53" s="260"/>
      <c r="I53" s="261"/>
    </row>
    <row r="54" spans="1:9" s="38" customFormat="1" ht="18.75" customHeight="1">
      <c r="A54" s="26">
        <v>592</v>
      </c>
      <c r="B54" s="27" t="s">
        <v>293</v>
      </c>
      <c r="C54" s="28"/>
      <c r="D54" s="131">
        <v>0</v>
      </c>
      <c r="E54" s="134">
        <f t="shared" si="1"/>
        <v>0</v>
      </c>
      <c r="F54" s="30" t="s">
        <v>428</v>
      </c>
      <c r="G54" s="131">
        <v>0</v>
      </c>
      <c r="H54" s="191"/>
      <c r="I54" s="205"/>
    </row>
    <row r="55" spans="1:9" s="38" customFormat="1" ht="18.75" customHeight="1">
      <c r="A55" s="26">
        <v>593</v>
      </c>
      <c r="B55" s="27" t="s">
        <v>294</v>
      </c>
      <c r="C55" s="28"/>
      <c r="D55" s="131">
        <v>0</v>
      </c>
      <c r="E55" s="134">
        <f t="shared" si="1"/>
        <v>0</v>
      </c>
      <c r="F55" s="30" t="s">
        <v>428</v>
      </c>
      <c r="G55" s="131">
        <v>0</v>
      </c>
      <c r="H55" s="191"/>
      <c r="I55" s="205"/>
    </row>
    <row r="56" spans="1:9" s="38" customFormat="1" ht="18.75" customHeight="1">
      <c r="A56" s="26">
        <v>594</v>
      </c>
      <c r="B56" s="27" t="s">
        <v>295</v>
      </c>
      <c r="C56" s="28"/>
      <c r="D56" s="131">
        <v>0</v>
      </c>
      <c r="E56" s="134">
        <f t="shared" si="1"/>
        <v>0</v>
      </c>
      <c r="F56" s="30" t="s">
        <v>428</v>
      </c>
      <c r="G56" s="131">
        <v>0</v>
      </c>
      <c r="H56" s="191"/>
      <c r="I56" s="205"/>
    </row>
    <row r="57" spans="1:9" s="38" customFormat="1" ht="18.75" customHeight="1">
      <c r="A57" s="26">
        <v>595</v>
      </c>
      <c r="B57" s="27" t="s">
        <v>296</v>
      </c>
      <c r="C57" s="28"/>
      <c r="D57" s="131">
        <v>0</v>
      </c>
      <c r="E57" s="134">
        <f t="shared" si="1"/>
        <v>0</v>
      </c>
      <c r="F57" s="30" t="s">
        <v>428</v>
      </c>
      <c r="G57" s="131">
        <v>0</v>
      </c>
      <c r="H57" s="191"/>
      <c r="I57" s="205"/>
    </row>
    <row r="58" spans="1:9" s="38" customFormat="1" ht="18.75" customHeight="1">
      <c r="A58" s="26">
        <v>596</v>
      </c>
      <c r="B58" s="27" t="s">
        <v>297</v>
      </c>
      <c r="C58" s="28"/>
      <c r="D58" s="131">
        <v>0</v>
      </c>
      <c r="E58" s="134">
        <f t="shared" si="1"/>
        <v>0</v>
      </c>
      <c r="F58" s="30" t="s">
        <v>428</v>
      </c>
      <c r="G58" s="131">
        <v>0</v>
      </c>
      <c r="H58" s="191"/>
      <c r="I58" s="205"/>
    </row>
    <row r="59" spans="1:9" s="38" customFormat="1" ht="18.75" customHeight="1">
      <c r="A59" s="26">
        <v>597</v>
      </c>
      <c r="B59" s="27" t="s">
        <v>298</v>
      </c>
      <c r="C59" s="28"/>
      <c r="D59" s="131">
        <v>34000000</v>
      </c>
      <c r="E59" s="134">
        <f t="shared" si="1"/>
        <v>-21000000</v>
      </c>
      <c r="F59" s="30">
        <f>G59/D59-1</f>
        <v>-0.61764705882352944</v>
      </c>
      <c r="G59" s="131">
        <f>34000000-21000000</f>
        <v>13000000</v>
      </c>
      <c r="H59" s="191"/>
      <c r="I59" s="205"/>
    </row>
    <row r="60" spans="1:9" s="38" customFormat="1" ht="18.75" customHeight="1">
      <c r="A60" s="26">
        <v>598</v>
      </c>
      <c r="B60" s="27" t="s">
        <v>299</v>
      </c>
      <c r="C60" s="28"/>
      <c r="D60" s="131">
        <v>0</v>
      </c>
      <c r="E60" s="134">
        <f t="shared" si="1"/>
        <v>0</v>
      </c>
      <c r="F60" s="30" t="s">
        <v>428</v>
      </c>
      <c r="G60" s="131">
        <v>0</v>
      </c>
      <c r="H60" s="191"/>
      <c r="I60" s="205"/>
    </row>
    <row r="61" spans="1:9" s="38" customFormat="1" ht="18.75" customHeight="1">
      <c r="A61" s="26">
        <v>599</v>
      </c>
      <c r="B61" s="27" t="s">
        <v>300</v>
      </c>
      <c r="C61" s="28"/>
      <c r="D61" s="131">
        <v>0</v>
      </c>
      <c r="E61" s="134">
        <f t="shared" si="1"/>
        <v>0</v>
      </c>
      <c r="F61" s="30" t="s">
        <v>428</v>
      </c>
      <c r="G61" s="131">
        <v>0</v>
      </c>
      <c r="H61" s="191"/>
      <c r="I61" s="205"/>
    </row>
  </sheetData>
  <sheetProtection selectLockedCells="1" selectUnlockedCells="1"/>
  <mergeCells count="20">
    <mergeCell ref="H5:I5"/>
    <mergeCell ref="G1:G2"/>
    <mergeCell ref="A1:A2"/>
    <mergeCell ref="B1:B2"/>
    <mergeCell ref="C1:C2"/>
    <mergeCell ref="D1:D2"/>
    <mergeCell ref="E1:F1"/>
    <mergeCell ref="H50:I50"/>
    <mergeCell ref="H9:I9"/>
    <mergeCell ref="H7:I7"/>
    <mergeCell ref="H14:I14"/>
    <mergeCell ref="H53:I53"/>
    <mergeCell ref="H49:I49"/>
    <mergeCell ref="H48:I48"/>
    <mergeCell ref="H20:I20"/>
    <mergeCell ref="H34:I34"/>
    <mergeCell ref="H35:I35"/>
    <mergeCell ref="H29:I29"/>
    <mergeCell ref="H12:I12"/>
    <mergeCell ref="H51:I51"/>
  </mergeCells>
  <phoneticPr fontId="5" type="noConversion"/>
  <conditionalFormatting sqref="D5:D10 G5:G10 D12:D15 D17:D18 D20:D25 D27 D38:D46 D48:D51 D53:D61 G17:G18 G20:G25 G27 G38:G46 G53:G61 G12:G15 D29:D36 G29:G36 G48:G51">
    <cfRule type="containsBlanks" dxfId="84" priority="64">
      <formula>LEN(TRIM(D5))=0</formula>
    </cfRule>
  </conditionalFormatting>
  <dataValidations count="1">
    <dataValidation type="whole" errorStyle="warning" operator="greaterThan" allowBlank="1" showInputMessage="1" showErrorMessage="1" errorTitle="IMPORTANTE" error="Se recomienda leer las instrucciones antes de inciar con el llenado del presupuesto por objeto del gasto" sqref="B1:E1 G1">
      <formula1>0</formula1>
    </dataValidation>
  </dataValidations>
  <printOptions horizontalCentered="1"/>
  <pageMargins left="0" right="0" top="0.19685039370078741" bottom="0" header="0" footer="0"/>
  <pageSetup scale="75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I43"/>
  <sheetViews>
    <sheetView showGridLines="0" zoomScaleSheetLayoutView="87" workbookViewId="0">
      <selection activeCell="B5" sqref="B5"/>
    </sheetView>
  </sheetViews>
  <sheetFormatPr baseColWidth="10" defaultColWidth="11.42578125" defaultRowHeight="19.5" customHeight="1"/>
  <cols>
    <col min="1" max="1" width="10.42578125" style="2" bestFit="1" customWidth="1"/>
    <col min="2" max="2" width="86.7109375" style="6" customWidth="1"/>
    <col min="3" max="3" width="17.85546875" style="7" hidden="1" customWidth="1"/>
    <col min="4" max="4" width="18.7109375" style="18" customWidth="1"/>
    <col min="5" max="5" width="15.7109375" style="19" customWidth="1"/>
    <col min="6" max="6" width="10.140625" style="20" bestFit="1" customWidth="1"/>
    <col min="7" max="7" width="18.85546875" style="138" customWidth="1"/>
    <col min="8" max="8" width="17.140625" bestFit="1" customWidth="1"/>
  </cols>
  <sheetData>
    <row r="1" spans="1:9" s="64" customFormat="1" ht="18.75" customHeight="1" thickBot="1">
      <c r="A1" s="242" t="s">
        <v>0</v>
      </c>
      <c r="B1" s="244" t="s">
        <v>1</v>
      </c>
      <c r="C1" s="254" t="s">
        <v>419</v>
      </c>
      <c r="D1" s="248" t="s">
        <v>429</v>
      </c>
      <c r="E1" s="250" t="s">
        <v>427</v>
      </c>
      <c r="F1" s="251"/>
      <c r="G1" s="248" t="s">
        <v>436</v>
      </c>
    </row>
    <row r="2" spans="1:9" s="64" customFormat="1" ht="30.75" customHeight="1" thickBot="1">
      <c r="A2" s="243"/>
      <c r="B2" s="245"/>
      <c r="C2" s="255"/>
      <c r="D2" s="249"/>
      <c r="E2" s="65" t="s">
        <v>420</v>
      </c>
      <c r="F2" s="65" t="s">
        <v>421</v>
      </c>
      <c r="G2" s="249"/>
    </row>
    <row r="3" spans="1:9" s="36" customFormat="1" ht="24.95" customHeight="1">
      <c r="A3" s="59">
        <v>6000</v>
      </c>
      <c r="B3" s="60" t="s">
        <v>301</v>
      </c>
      <c r="C3" s="61"/>
      <c r="D3" s="133">
        <v>860126825.47000003</v>
      </c>
      <c r="E3" s="133">
        <f>G3-D3</f>
        <v>-43160979.779999971</v>
      </c>
      <c r="F3" s="63">
        <f t="shared" ref="F3:F10" si="0">G3/D3-1</f>
        <v>-5.0179785703597268E-2</v>
      </c>
      <c r="G3" s="133">
        <f>G4+G13+G22</f>
        <v>816965845.69000006</v>
      </c>
    </row>
    <row r="4" spans="1:9" s="37" customFormat="1" ht="21.95" customHeight="1">
      <c r="A4" s="21">
        <v>6100</v>
      </c>
      <c r="B4" s="22" t="s">
        <v>302</v>
      </c>
      <c r="C4" s="23"/>
      <c r="D4" s="130">
        <v>860126825.47000003</v>
      </c>
      <c r="E4" s="130">
        <f t="shared" ref="E4:E24" si="1">G4-D4</f>
        <v>-43160979.779999971</v>
      </c>
      <c r="F4" s="25">
        <f t="shared" si="0"/>
        <v>-5.0179785703597268E-2</v>
      </c>
      <c r="G4" s="130">
        <f>SUM(G5:G12)</f>
        <v>816965845.69000006</v>
      </c>
    </row>
    <row r="5" spans="1:9" s="38" customFormat="1" ht="36.75" customHeight="1">
      <c r="A5" s="26">
        <v>611</v>
      </c>
      <c r="B5" s="27" t="s">
        <v>303</v>
      </c>
      <c r="C5" s="28"/>
      <c r="D5" s="131">
        <v>0</v>
      </c>
      <c r="E5" s="134">
        <f t="shared" si="1"/>
        <v>0</v>
      </c>
      <c r="F5" s="30" t="s">
        <v>428</v>
      </c>
      <c r="G5" s="131">
        <v>0</v>
      </c>
      <c r="H5" s="111"/>
    </row>
    <row r="6" spans="1:9" s="38" customFormat="1" ht="18.75" customHeight="1">
      <c r="A6" s="26">
        <v>612</v>
      </c>
      <c r="B6" s="27" t="s">
        <v>304</v>
      </c>
      <c r="C6" s="28"/>
      <c r="D6" s="131">
        <v>181637654.74000001</v>
      </c>
      <c r="E6" s="135">
        <f t="shared" si="1"/>
        <v>-4400000</v>
      </c>
      <c r="F6" s="30">
        <f t="shared" si="0"/>
        <v>-2.4224052035346166E-2</v>
      </c>
      <c r="G6" s="131">
        <f>181637654.74-4400000</f>
        <v>177237654.74000001</v>
      </c>
      <c r="I6" s="88"/>
    </row>
    <row r="7" spans="1:9" s="38" customFormat="1" ht="26.25" customHeight="1">
      <c r="A7" s="26">
        <v>613</v>
      </c>
      <c r="B7" s="31" t="s">
        <v>305</v>
      </c>
      <c r="C7" s="28"/>
      <c r="D7" s="131">
        <v>21968760.949999999</v>
      </c>
      <c r="E7" s="135">
        <f t="shared" si="1"/>
        <v>8470442</v>
      </c>
      <c r="F7" s="30">
        <f t="shared" si="0"/>
        <v>0.38556758022349924</v>
      </c>
      <c r="G7" s="131">
        <f>21968760.95+8470442</f>
        <v>30439202.949999999</v>
      </c>
    </row>
    <row r="8" spans="1:9" s="38" customFormat="1" ht="59.25" customHeight="1">
      <c r="A8" s="26">
        <v>614</v>
      </c>
      <c r="B8" s="27" t="s">
        <v>306</v>
      </c>
      <c r="C8" s="28"/>
      <c r="D8" s="132">
        <v>552813080</v>
      </c>
      <c r="E8" s="135">
        <f t="shared" si="1"/>
        <v>-53735639</v>
      </c>
      <c r="F8" s="35">
        <f t="shared" si="0"/>
        <v>-9.7203993436624225E-2</v>
      </c>
      <c r="G8" s="131">
        <f>552813080-7000000-7500000-2280980-26380000-10574659</f>
        <v>499077441</v>
      </c>
      <c r="H8" s="246"/>
      <c r="I8" s="247"/>
    </row>
    <row r="9" spans="1:9" s="38" customFormat="1" ht="12.75">
      <c r="A9" s="26">
        <v>615</v>
      </c>
      <c r="B9" s="27" t="s">
        <v>307</v>
      </c>
      <c r="C9" s="28"/>
      <c r="D9" s="132">
        <v>0</v>
      </c>
      <c r="E9" s="135">
        <f t="shared" si="1"/>
        <v>110211547</v>
      </c>
      <c r="F9" s="35" t="s">
        <v>428</v>
      </c>
      <c r="G9" s="131">
        <v>110211547</v>
      </c>
      <c r="H9" s="111"/>
    </row>
    <row r="10" spans="1:9" s="38" customFormat="1" ht="20.25" customHeight="1">
      <c r="A10" s="26">
        <v>616</v>
      </c>
      <c r="B10" s="27" t="s">
        <v>308</v>
      </c>
      <c r="C10" s="32"/>
      <c r="D10" s="132">
        <v>103707329.78</v>
      </c>
      <c r="E10" s="135">
        <f t="shared" si="1"/>
        <v>-103707329.78</v>
      </c>
      <c r="F10" s="35">
        <f t="shared" si="0"/>
        <v>-1</v>
      </c>
      <c r="G10" s="131">
        <v>0</v>
      </c>
      <c r="H10" s="37"/>
    </row>
    <row r="11" spans="1:9" s="38" customFormat="1" ht="18.75" customHeight="1">
      <c r="A11" s="26">
        <v>617</v>
      </c>
      <c r="B11" s="27" t="s">
        <v>309</v>
      </c>
      <c r="C11" s="28"/>
      <c r="D11" s="132">
        <v>0</v>
      </c>
      <c r="E11" s="135">
        <f t="shared" si="1"/>
        <v>0</v>
      </c>
      <c r="F11" s="35" t="s">
        <v>428</v>
      </c>
      <c r="G11" s="131">
        <v>0</v>
      </c>
      <c r="H11" s="37"/>
    </row>
    <row r="12" spans="1:9" s="38" customFormat="1" ht="18.75" customHeight="1">
      <c r="A12" s="26">
        <v>619</v>
      </c>
      <c r="B12" s="27" t="s">
        <v>310</v>
      </c>
      <c r="C12" s="32"/>
      <c r="D12" s="132">
        <v>0</v>
      </c>
      <c r="E12" s="135">
        <f t="shared" si="1"/>
        <v>0</v>
      </c>
      <c r="F12" s="35" t="s">
        <v>428</v>
      </c>
      <c r="G12" s="131">
        <v>0</v>
      </c>
      <c r="H12" s="186"/>
    </row>
    <row r="13" spans="1:9" s="37" customFormat="1" ht="21.95" customHeight="1">
      <c r="A13" s="21">
        <v>6200</v>
      </c>
      <c r="B13" s="22" t="s">
        <v>311</v>
      </c>
      <c r="C13" s="23"/>
      <c r="D13" s="130">
        <v>0</v>
      </c>
      <c r="E13" s="130">
        <f t="shared" si="1"/>
        <v>0</v>
      </c>
      <c r="F13" s="25" t="s">
        <v>428</v>
      </c>
      <c r="G13" s="130">
        <f>SUM(G14:G21)</f>
        <v>0</v>
      </c>
    </row>
    <row r="14" spans="1:9" s="38" customFormat="1" ht="18.75" customHeight="1">
      <c r="A14" s="26">
        <v>621</v>
      </c>
      <c r="B14" s="27" t="s">
        <v>303</v>
      </c>
      <c r="C14" s="28"/>
      <c r="D14" s="131">
        <v>0</v>
      </c>
      <c r="E14" s="135">
        <f t="shared" si="1"/>
        <v>0</v>
      </c>
      <c r="F14" s="30" t="s">
        <v>428</v>
      </c>
      <c r="G14" s="131">
        <v>0</v>
      </c>
    </row>
    <row r="15" spans="1:9" s="38" customFormat="1" ht="18.75" customHeight="1">
      <c r="A15" s="26">
        <v>622</v>
      </c>
      <c r="B15" s="27" t="s">
        <v>312</v>
      </c>
      <c r="C15" s="28"/>
      <c r="D15" s="131">
        <v>0</v>
      </c>
      <c r="E15" s="135">
        <f t="shared" si="1"/>
        <v>0</v>
      </c>
      <c r="F15" s="30" t="s">
        <v>428</v>
      </c>
      <c r="G15" s="131">
        <v>0</v>
      </c>
    </row>
    <row r="16" spans="1:9" s="38" customFormat="1" ht="18.75" customHeight="1">
      <c r="A16" s="26">
        <v>623</v>
      </c>
      <c r="B16" s="27" t="s">
        <v>313</v>
      </c>
      <c r="C16" s="28"/>
      <c r="D16" s="131">
        <v>0</v>
      </c>
      <c r="E16" s="135">
        <f t="shared" si="1"/>
        <v>0</v>
      </c>
      <c r="F16" s="30" t="s">
        <v>428</v>
      </c>
      <c r="G16" s="131">
        <v>0</v>
      </c>
    </row>
    <row r="17" spans="1:7" s="38" customFormat="1" ht="18.75" customHeight="1">
      <c r="A17" s="26">
        <v>624</v>
      </c>
      <c r="B17" s="27" t="s">
        <v>306</v>
      </c>
      <c r="C17" s="28"/>
      <c r="D17" s="131">
        <v>0</v>
      </c>
      <c r="E17" s="135">
        <f t="shared" si="1"/>
        <v>0</v>
      </c>
      <c r="F17" s="30" t="s">
        <v>428</v>
      </c>
      <c r="G17" s="131">
        <v>0</v>
      </c>
    </row>
    <row r="18" spans="1:7" s="38" customFormat="1" ht="18.75" customHeight="1">
      <c r="A18" s="26">
        <v>625</v>
      </c>
      <c r="B18" s="27" t="s">
        <v>307</v>
      </c>
      <c r="C18" s="28"/>
      <c r="D18" s="131">
        <v>0</v>
      </c>
      <c r="E18" s="135">
        <f t="shared" si="1"/>
        <v>0</v>
      </c>
      <c r="F18" s="30" t="s">
        <v>428</v>
      </c>
      <c r="G18" s="131">
        <v>0</v>
      </c>
    </row>
    <row r="19" spans="1:7" s="38" customFormat="1" ht="18.75" customHeight="1">
      <c r="A19" s="26">
        <v>626</v>
      </c>
      <c r="B19" s="27" t="s">
        <v>308</v>
      </c>
      <c r="C19" s="28"/>
      <c r="D19" s="131">
        <v>0</v>
      </c>
      <c r="E19" s="135">
        <f t="shared" si="1"/>
        <v>0</v>
      </c>
      <c r="F19" s="30" t="s">
        <v>428</v>
      </c>
      <c r="G19" s="131">
        <v>0</v>
      </c>
    </row>
    <row r="20" spans="1:7" s="38" customFormat="1" ht="18.75" customHeight="1">
      <c r="A20" s="26">
        <v>627</v>
      </c>
      <c r="B20" s="27" t="s">
        <v>309</v>
      </c>
      <c r="C20" s="28"/>
      <c r="D20" s="131">
        <v>0</v>
      </c>
      <c r="E20" s="135">
        <f t="shared" si="1"/>
        <v>0</v>
      </c>
      <c r="F20" s="30" t="s">
        <v>428</v>
      </c>
      <c r="G20" s="131">
        <v>0</v>
      </c>
    </row>
    <row r="21" spans="1:7" s="38" customFormat="1" ht="18.75" customHeight="1">
      <c r="A21" s="26">
        <v>629</v>
      </c>
      <c r="B21" s="27" t="s">
        <v>314</v>
      </c>
      <c r="C21" s="28"/>
      <c r="D21" s="131">
        <v>0</v>
      </c>
      <c r="E21" s="135">
        <f t="shared" si="1"/>
        <v>0</v>
      </c>
      <c r="F21" s="30" t="s">
        <v>428</v>
      </c>
      <c r="G21" s="131">
        <v>0</v>
      </c>
    </row>
    <row r="22" spans="1:7" s="37" customFormat="1" ht="21.95" customHeight="1">
      <c r="A22" s="21">
        <v>6300</v>
      </c>
      <c r="B22" s="22" t="s">
        <v>315</v>
      </c>
      <c r="C22" s="23"/>
      <c r="D22" s="130">
        <v>0</v>
      </c>
      <c r="E22" s="130">
        <f t="shared" si="1"/>
        <v>0</v>
      </c>
      <c r="F22" s="25" t="s">
        <v>428</v>
      </c>
      <c r="G22" s="130">
        <f>SUM(G23:G24)</f>
        <v>0</v>
      </c>
    </row>
    <row r="23" spans="1:7" s="38" customFormat="1" ht="18.75" customHeight="1">
      <c r="A23" s="26">
        <v>631</v>
      </c>
      <c r="B23" s="27" t="s">
        <v>316</v>
      </c>
      <c r="C23" s="28"/>
      <c r="D23" s="131">
        <v>0</v>
      </c>
      <c r="E23" s="135">
        <f t="shared" si="1"/>
        <v>0</v>
      </c>
      <c r="F23" s="30" t="s">
        <v>428</v>
      </c>
      <c r="G23" s="131">
        <v>0</v>
      </c>
    </row>
    <row r="24" spans="1:7" s="38" customFormat="1" ht="18.75" customHeight="1">
      <c r="A24" s="26">
        <v>632</v>
      </c>
      <c r="B24" s="27" t="s">
        <v>317</v>
      </c>
      <c r="C24" s="28"/>
      <c r="D24" s="131">
        <v>0</v>
      </c>
      <c r="E24" s="135">
        <f t="shared" si="1"/>
        <v>0</v>
      </c>
      <c r="F24" s="30" t="s">
        <v>428</v>
      </c>
      <c r="G24" s="131">
        <v>0</v>
      </c>
    </row>
    <row r="25" spans="1:7" s="1" customFormat="1" ht="19.5" customHeight="1">
      <c r="A25" s="139"/>
      <c r="B25" s="140"/>
      <c r="C25" s="141"/>
      <c r="D25" s="142"/>
      <c r="E25" s="143"/>
      <c r="F25" s="144"/>
      <c r="G25" s="145"/>
    </row>
    <row r="26" spans="1:7" s="153" customFormat="1" ht="19.5" customHeight="1">
      <c r="A26" s="146"/>
      <c r="B26" s="147"/>
      <c r="C26" s="148"/>
      <c r="D26" s="149"/>
      <c r="E26" s="150"/>
      <c r="F26" s="151"/>
      <c r="G26" s="152"/>
    </row>
    <row r="27" spans="1:7" s="153" customFormat="1" ht="19.5" customHeight="1">
      <c r="A27" s="146"/>
      <c r="B27" s="147"/>
      <c r="C27" s="148"/>
      <c r="D27" s="149"/>
      <c r="E27" s="150"/>
      <c r="F27" s="151"/>
      <c r="G27" s="154"/>
    </row>
    <row r="28" spans="1:7" s="153" customFormat="1" ht="19.5" customHeight="1">
      <c r="A28" s="146"/>
      <c r="B28" s="155"/>
      <c r="C28" s="148"/>
      <c r="D28" s="149"/>
      <c r="E28" s="150"/>
      <c r="F28" s="151"/>
      <c r="G28" s="152"/>
    </row>
    <row r="29" spans="1:7" s="153" customFormat="1" ht="19.5" customHeight="1">
      <c r="A29" s="146"/>
      <c r="B29" s="147"/>
      <c r="C29" s="148"/>
      <c r="D29" s="149"/>
      <c r="E29" s="150"/>
      <c r="F29" s="151"/>
      <c r="G29" s="156"/>
    </row>
    <row r="30" spans="1:7" s="153" customFormat="1" ht="19.5" customHeight="1">
      <c r="A30" s="146"/>
      <c r="B30" s="147"/>
      <c r="C30" s="148"/>
      <c r="D30" s="149"/>
      <c r="E30" s="150"/>
      <c r="F30" s="151"/>
      <c r="G30" s="156"/>
    </row>
    <row r="31" spans="1:7" s="153" customFormat="1" ht="19.5" customHeight="1">
      <c r="A31" s="146"/>
      <c r="B31" s="147"/>
      <c r="C31" s="148"/>
      <c r="D31" s="149"/>
      <c r="E31" s="150"/>
      <c r="F31" s="151"/>
      <c r="G31" s="156"/>
    </row>
    <row r="32" spans="1:7" s="153" customFormat="1" ht="19.5" customHeight="1">
      <c r="A32" s="146"/>
      <c r="B32" s="147"/>
      <c r="C32" s="148"/>
      <c r="D32" s="149"/>
      <c r="E32" s="150"/>
      <c r="F32" s="151"/>
      <c r="G32" s="156"/>
    </row>
    <row r="33" spans="1:7" s="153" customFormat="1" ht="19.5" customHeight="1">
      <c r="A33" s="146"/>
      <c r="B33" s="147"/>
      <c r="C33" s="148"/>
      <c r="D33" s="149"/>
      <c r="E33" s="150"/>
      <c r="F33" s="151"/>
      <c r="G33" s="152"/>
    </row>
    <row r="34" spans="1:7" s="153" customFormat="1" ht="19.5" customHeight="1">
      <c r="A34" s="146"/>
      <c r="B34" s="147"/>
      <c r="C34" s="148"/>
      <c r="D34" s="149"/>
      <c r="E34" s="150"/>
      <c r="F34" s="151"/>
      <c r="G34" s="152"/>
    </row>
    <row r="35" spans="1:7" s="153" customFormat="1" ht="19.5" customHeight="1">
      <c r="A35" s="146"/>
      <c r="B35" s="147"/>
      <c r="C35" s="148"/>
      <c r="D35" s="149"/>
      <c r="E35" s="150"/>
      <c r="F35" s="151"/>
      <c r="G35" s="152"/>
    </row>
    <row r="36" spans="1:7" s="153" customFormat="1" ht="19.5" customHeight="1">
      <c r="A36" s="146"/>
      <c r="B36" s="147"/>
      <c r="C36" s="148"/>
      <c r="D36" s="149"/>
      <c r="E36" s="150"/>
      <c r="F36" s="151"/>
      <c r="G36" s="152"/>
    </row>
    <row r="37" spans="1:7" s="153" customFormat="1" ht="19.5" customHeight="1">
      <c r="A37" s="146"/>
      <c r="B37" s="147"/>
      <c r="C37" s="148"/>
      <c r="D37" s="149"/>
      <c r="E37" s="150"/>
      <c r="F37" s="151"/>
      <c r="G37" s="152"/>
    </row>
    <row r="38" spans="1:7" s="153" customFormat="1" ht="19.5" customHeight="1">
      <c r="A38" s="146"/>
      <c r="B38" s="147"/>
      <c r="C38" s="148"/>
      <c r="D38" s="149"/>
      <c r="E38" s="150"/>
      <c r="F38" s="151"/>
      <c r="G38" s="152"/>
    </row>
    <row r="39" spans="1:7" s="153" customFormat="1" ht="19.5" customHeight="1">
      <c r="A39" s="146"/>
      <c r="B39" s="147"/>
      <c r="C39" s="148"/>
      <c r="D39" s="149"/>
      <c r="E39" s="150"/>
      <c r="F39" s="151"/>
      <c r="G39" s="152"/>
    </row>
    <row r="40" spans="1:7" s="153" customFormat="1" ht="19.5" customHeight="1">
      <c r="A40" s="146"/>
      <c r="B40" s="147"/>
      <c r="C40" s="148"/>
      <c r="D40" s="149"/>
      <c r="E40" s="150"/>
      <c r="F40" s="151"/>
      <c r="G40" s="152"/>
    </row>
    <row r="41" spans="1:7" s="153" customFormat="1" ht="19.5" customHeight="1">
      <c r="A41" s="146"/>
      <c r="B41" s="147"/>
      <c r="C41" s="148"/>
      <c r="D41" s="149"/>
      <c r="E41" s="150"/>
      <c r="F41" s="151"/>
      <c r="G41" s="152"/>
    </row>
    <row r="42" spans="1:7" s="153" customFormat="1" ht="19.5" customHeight="1">
      <c r="A42" s="146"/>
      <c r="B42" s="147"/>
      <c r="C42" s="148"/>
      <c r="D42" s="149"/>
      <c r="E42" s="150"/>
      <c r="F42" s="151"/>
      <c r="G42" s="152"/>
    </row>
    <row r="43" spans="1:7" s="153" customFormat="1" ht="19.5" customHeight="1">
      <c r="A43" s="146"/>
      <c r="B43" s="147"/>
      <c r="C43" s="148"/>
      <c r="D43" s="149"/>
      <c r="E43" s="150"/>
      <c r="F43" s="151"/>
      <c r="G43" s="152"/>
    </row>
  </sheetData>
  <sheetProtection selectLockedCells="1" selectUnlockedCells="1"/>
  <mergeCells count="7">
    <mergeCell ref="H8:I8"/>
    <mergeCell ref="G1:G2"/>
    <mergeCell ref="A1:A2"/>
    <mergeCell ref="B1:B2"/>
    <mergeCell ref="C1:C2"/>
    <mergeCell ref="D1:D2"/>
    <mergeCell ref="E1:F1"/>
  </mergeCells>
  <phoneticPr fontId="5" type="noConversion"/>
  <conditionalFormatting sqref="D14:D21 D23:D24 G14:G21 G23:G24 D5:D12 G5:G12">
    <cfRule type="containsBlanks" dxfId="83" priority="12">
      <formula>LEN(TRIM(D5))=0</formula>
    </cfRule>
  </conditionalFormatting>
  <dataValidations count="1">
    <dataValidation type="whole" errorStyle="warning" operator="greaterThan" allowBlank="1" showInputMessage="1" showErrorMessage="1" errorTitle="IMPORTANTE" error="Se recomienda leer las instrucciones antes de inciar con el llenado del presupuesto por objeto del gasto" sqref="B1:E1 G1">
      <formula1>0</formula1>
    </dataValidation>
  </dataValidations>
  <printOptions horizontalCentered="1"/>
  <pageMargins left="0" right="0" top="0.51181102362204722" bottom="0" header="0.19685039370078741" footer="0"/>
  <pageSetup scale="75" fitToHeight="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G50"/>
  <sheetViews>
    <sheetView showGridLines="0" workbookViewId="0">
      <selection activeCell="G1" sqref="G1:G2"/>
    </sheetView>
  </sheetViews>
  <sheetFormatPr baseColWidth="10" defaultColWidth="11.42578125" defaultRowHeight="14.25" customHeight="1"/>
  <cols>
    <col min="1" max="1" width="12.28515625" style="2" customWidth="1"/>
    <col min="2" max="2" width="86.7109375" style="6" customWidth="1"/>
    <col min="3" max="3" width="12.85546875" style="7" hidden="1" customWidth="1"/>
    <col min="4" max="4" width="18.7109375" style="15" customWidth="1"/>
    <col min="5" max="5" width="15.7109375" style="17" customWidth="1"/>
    <col min="6" max="6" width="11.5703125" style="10" bestFit="1" customWidth="1"/>
    <col min="7" max="7" width="18.7109375" style="13" customWidth="1"/>
    <col min="8" max="8" width="17.140625" bestFit="1" customWidth="1"/>
  </cols>
  <sheetData>
    <row r="1" spans="1:7" s="64" customFormat="1" ht="18.75" customHeight="1" thickBot="1">
      <c r="A1" s="242" t="s">
        <v>0</v>
      </c>
      <c r="B1" s="244" t="s">
        <v>1</v>
      </c>
      <c r="C1" s="254" t="s">
        <v>419</v>
      </c>
      <c r="D1" s="248" t="s">
        <v>429</v>
      </c>
      <c r="E1" s="250" t="s">
        <v>427</v>
      </c>
      <c r="F1" s="251"/>
      <c r="G1" s="248" t="s">
        <v>436</v>
      </c>
    </row>
    <row r="2" spans="1:7" s="64" customFormat="1" ht="33" customHeight="1" thickBot="1">
      <c r="A2" s="243"/>
      <c r="B2" s="245"/>
      <c r="C2" s="255"/>
      <c r="D2" s="249"/>
      <c r="E2" s="170" t="s">
        <v>420</v>
      </c>
      <c r="F2" s="65" t="s">
        <v>421</v>
      </c>
      <c r="G2" s="249"/>
    </row>
    <row r="3" spans="1:7" s="36" customFormat="1" ht="24.95" customHeight="1">
      <c r="A3" s="59">
        <v>7000</v>
      </c>
      <c r="B3" s="60" t="s">
        <v>318</v>
      </c>
      <c r="C3" s="61"/>
      <c r="D3" s="133">
        <f>D4+D7+D17+D24+D34+D44+D47</f>
        <v>10000000</v>
      </c>
      <c r="E3" s="133">
        <f t="shared" ref="E3:E28" si="0">G3-D3</f>
        <v>0</v>
      </c>
      <c r="F3" s="63">
        <f>G3/D3-1</f>
        <v>0</v>
      </c>
      <c r="G3" s="126">
        <f>G4+G7+G17+G24+G34+G44+G47</f>
        <v>10000000</v>
      </c>
    </row>
    <row r="4" spans="1:7" s="37" customFormat="1" ht="21.95" hidden="1" customHeight="1">
      <c r="A4" s="21">
        <v>7100</v>
      </c>
      <c r="B4" s="22" t="s">
        <v>319</v>
      </c>
      <c r="C4" s="23"/>
      <c r="D4" s="130">
        <f>SUM(D5:D6)</f>
        <v>0</v>
      </c>
      <c r="E4" s="130">
        <f t="shared" si="0"/>
        <v>0</v>
      </c>
      <c r="F4" s="25" t="e">
        <f>G4/D4-1</f>
        <v>#DIV/0!</v>
      </c>
      <c r="G4" s="127">
        <f>SUM(G5:G6)</f>
        <v>0</v>
      </c>
    </row>
    <row r="5" spans="1:7" s="38" customFormat="1" ht="18.75" hidden="1" customHeight="1">
      <c r="A5" s="26">
        <v>711</v>
      </c>
      <c r="B5" s="27" t="s">
        <v>320</v>
      </c>
      <c r="C5" s="28"/>
      <c r="D5" s="131">
        <v>0</v>
      </c>
      <c r="E5" s="134">
        <f t="shared" si="0"/>
        <v>0</v>
      </c>
      <c r="F5" s="30" t="e">
        <f>G5/D5-1</f>
        <v>#DIV/0!</v>
      </c>
      <c r="G5" s="128">
        <v>0</v>
      </c>
    </row>
    <row r="6" spans="1:7" s="38" customFormat="1" ht="18.75" hidden="1" customHeight="1">
      <c r="A6" s="26">
        <v>712</v>
      </c>
      <c r="B6" s="27" t="s">
        <v>321</v>
      </c>
      <c r="C6" s="28"/>
      <c r="D6" s="131">
        <v>0</v>
      </c>
      <c r="E6" s="134">
        <f t="shared" si="0"/>
        <v>0</v>
      </c>
      <c r="F6" s="30" t="e">
        <f>G6/D6-1</f>
        <v>#DIV/0!</v>
      </c>
      <c r="G6" s="128">
        <v>0</v>
      </c>
    </row>
    <row r="7" spans="1:7" s="37" customFormat="1" ht="21.95" hidden="1" customHeight="1">
      <c r="A7" s="21">
        <v>7200</v>
      </c>
      <c r="B7" s="22" t="s">
        <v>322</v>
      </c>
      <c r="C7" s="23"/>
      <c r="D7" s="130">
        <f>SUM(D8:D16)</f>
        <v>0</v>
      </c>
      <c r="E7" s="130">
        <f t="shared" si="0"/>
        <v>0</v>
      </c>
      <c r="F7" s="25" t="e">
        <f>G7/D7-1</f>
        <v>#DIV/0!</v>
      </c>
      <c r="G7" s="127">
        <f>SUM(G8:G16)</f>
        <v>0</v>
      </c>
    </row>
    <row r="8" spans="1:7" s="38" customFormat="1" ht="18.75" hidden="1" customHeight="1">
      <c r="A8" s="26">
        <v>721</v>
      </c>
      <c r="B8" s="27" t="s">
        <v>323</v>
      </c>
      <c r="C8" s="28"/>
      <c r="D8" s="131">
        <v>0</v>
      </c>
      <c r="E8" s="134">
        <f t="shared" si="0"/>
        <v>0</v>
      </c>
      <c r="F8" s="30" t="e">
        <f t="shared" ref="F8:F50" si="1">G8/D8-1</f>
        <v>#DIV/0!</v>
      </c>
      <c r="G8" s="128">
        <v>0</v>
      </c>
    </row>
    <row r="9" spans="1:7" s="38" customFormat="1" ht="18.75" hidden="1" customHeight="1">
      <c r="A9" s="26">
        <v>722</v>
      </c>
      <c r="B9" s="27" t="s">
        <v>324</v>
      </c>
      <c r="C9" s="28"/>
      <c r="D9" s="131">
        <v>0</v>
      </c>
      <c r="E9" s="134">
        <f t="shared" si="0"/>
        <v>0</v>
      </c>
      <c r="F9" s="30" t="e">
        <f t="shared" si="1"/>
        <v>#DIV/0!</v>
      </c>
      <c r="G9" s="128">
        <v>0</v>
      </c>
    </row>
    <row r="10" spans="1:7" s="38" customFormat="1" ht="18.75" hidden="1" customHeight="1">
      <c r="A10" s="26">
        <v>723</v>
      </c>
      <c r="B10" s="27" t="s">
        <v>325</v>
      </c>
      <c r="C10" s="28"/>
      <c r="D10" s="131">
        <v>0</v>
      </c>
      <c r="E10" s="134">
        <f t="shared" si="0"/>
        <v>0</v>
      </c>
      <c r="F10" s="30" t="e">
        <f>G10/D10-1</f>
        <v>#DIV/0!</v>
      </c>
      <c r="G10" s="128">
        <v>0</v>
      </c>
    </row>
    <row r="11" spans="1:7" s="38" customFormat="1" ht="18.75" hidden="1" customHeight="1">
      <c r="A11" s="26">
        <v>724</v>
      </c>
      <c r="B11" s="27" t="s">
        <v>326</v>
      </c>
      <c r="C11" s="28"/>
      <c r="D11" s="131">
        <v>0</v>
      </c>
      <c r="E11" s="134">
        <f t="shared" si="0"/>
        <v>0</v>
      </c>
      <c r="F11" s="30" t="e">
        <f t="shared" si="1"/>
        <v>#DIV/0!</v>
      </c>
      <c r="G11" s="128">
        <v>0</v>
      </c>
    </row>
    <row r="12" spans="1:7" s="38" customFormat="1" ht="18.75" hidden="1" customHeight="1">
      <c r="A12" s="26">
        <v>725</v>
      </c>
      <c r="B12" s="27" t="s">
        <v>327</v>
      </c>
      <c r="C12" s="28"/>
      <c r="D12" s="131">
        <v>0</v>
      </c>
      <c r="E12" s="134">
        <f t="shared" si="0"/>
        <v>0</v>
      </c>
      <c r="F12" s="30" t="e">
        <f t="shared" si="1"/>
        <v>#DIV/0!</v>
      </c>
      <c r="G12" s="128">
        <v>0</v>
      </c>
    </row>
    <row r="13" spans="1:7" s="38" customFormat="1" ht="18.75" hidden="1" customHeight="1">
      <c r="A13" s="26">
        <v>726</v>
      </c>
      <c r="B13" s="27" t="s">
        <v>328</v>
      </c>
      <c r="C13" s="28"/>
      <c r="D13" s="131">
        <v>0</v>
      </c>
      <c r="E13" s="134">
        <f t="shared" si="0"/>
        <v>0</v>
      </c>
      <c r="F13" s="30" t="e">
        <f t="shared" si="1"/>
        <v>#DIV/0!</v>
      </c>
      <c r="G13" s="128">
        <v>0</v>
      </c>
    </row>
    <row r="14" spans="1:7" s="38" customFormat="1" ht="18.75" hidden="1" customHeight="1">
      <c r="A14" s="26">
        <v>727</v>
      </c>
      <c r="B14" s="27" t="s">
        <v>329</v>
      </c>
      <c r="C14" s="28"/>
      <c r="D14" s="131">
        <v>0</v>
      </c>
      <c r="E14" s="134">
        <f t="shared" si="0"/>
        <v>0</v>
      </c>
      <c r="F14" s="30" t="e">
        <f t="shared" si="1"/>
        <v>#DIV/0!</v>
      </c>
      <c r="G14" s="128">
        <v>0</v>
      </c>
    </row>
    <row r="15" spans="1:7" s="38" customFormat="1" ht="18.75" hidden="1" customHeight="1">
      <c r="A15" s="26">
        <v>728</v>
      </c>
      <c r="B15" s="27" t="s">
        <v>330</v>
      </c>
      <c r="C15" s="28"/>
      <c r="D15" s="131">
        <v>0</v>
      </c>
      <c r="E15" s="134">
        <f t="shared" si="0"/>
        <v>0</v>
      </c>
      <c r="F15" s="30" t="e">
        <f t="shared" si="1"/>
        <v>#DIV/0!</v>
      </c>
      <c r="G15" s="128">
        <v>0</v>
      </c>
    </row>
    <row r="16" spans="1:7" s="38" customFormat="1" ht="18.75" hidden="1" customHeight="1">
      <c r="A16" s="26">
        <v>729</v>
      </c>
      <c r="B16" s="27" t="s">
        <v>331</v>
      </c>
      <c r="C16" s="28"/>
      <c r="D16" s="131">
        <v>0</v>
      </c>
      <c r="E16" s="134">
        <f t="shared" si="0"/>
        <v>0</v>
      </c>
      <c r="F16" s="30" t="e">
        <f t="shared" si="1"/>
        <v>#DIV/0!</v>
      </c>
      <c r="G16" s="128">
        <v>0</v>
      </c>
    </row>
    <row r="17" spans="1:7" s="37" customFormat="1" ht="21.95" hidden="1" customHeight="1">
      <c r="A17" s="21">
        <v>7300</v>
      </c>
      <c r="B17" s="22" t="s">
        <v>332</v>
      </c>
      <c r="C17" s="23"/>
      <c r="D17" s="130">
        <f>SUM(D18:D23)</f>
        <v>0</v>
      </c>
      <c r="E17" s="130">
        <f t="shared" si="0"/>
        <v>0</v>
      </c>
      <c r="F17" s="25" t="e">
        <f>G17/D17-1</f>
        <v>#DIV/0!</v>
      </c>
      <c r="G17" s="127">
        <f>SUM(G18:G23)</f>
        <v>0</v>
      </c>
    </row>
    <row r="18" spans="1:7" s="38" customFormat="1" ht="18.75" hidden="1" customHeight="1">
      <c r="A18" s="26">
        <v>731</v>
      </c>
      <c r="B18" s="27" t="s">
        <v>333</v>
      </c>
      <c r="C18" s="28"/>
      <c r="D18" s="131">
        <v>0</v>
      </c>
      <c r="E18" s="134">
        <f t="shared" si="0"/>
        <v>0</v>
      </c>
      <c r="F18" s="30" t="e">
        <f t="shared" si="1"/>
        <v>#DIV/0!</v>
      </c>
      <c r="G18" s="128">
        <v>0</v>
      </c>
    </row>
    <row r="19" spans="1:7" s="38" customFormat="1" ht="18.75" hidden="1" customHeight="1">
      <c r="A19" s="26">
        <v>732</v>
      </c>
      <c r="B19" s="27" t="s">
        <v>334</v>
      </c>
      <c r="C19" s="28"/>
      <c r="D19" s="131">
        <v>0</v>
      </c>
      <c r="E19" s="134">
        <f t="shared" si="0"/>
        <v>0</v>
      </c>
      <c r="F19" s="30" t="e">
        <f t="shared" si="1"/>
        <v>#DIV/0!</v>
      </c>
      <c r="G19" s="128">
        <v>0</v>
      </c>
    </row>
    <row r="20" spans="1:7" s="38" customFormat="1" ht="18.75" hidden="1" customHeight="1">
      <c r="A20" s="26">
        <v>733</v>
      </c>
      <c r="B20" s="27" t="s">
        <v>335</v>
      </c>
      <c r="C20" s="28"/>
      <c r="D20" s="131">
        <v>0</v>
      </c>
      <c r="E20" s="134">
        <f t="shared" si="0"/>
        <v>0</v>
      </c>
      <c r="F20" s="30" t="e">
        <f t="shared" si="1"/>
        <v>#DIV/0!</v>
      </c>
      <c r="G20" s="128">
        <v>0</v>
      </c>
    </row>
    <row r="21" spans="1:7" s="38" customFormat="1" ht="18.75" hidden="1" customHeight="1">
      <c r="A21" s="26">
        <v>734</v>
      </c>
      <c r="B21" s="27" t="s">
        <v>336</v>
      </c>
      <c r="C21" s="28"/>
      <c r="D21" s="131">
        <v>0</v>
      </c>
      <c r="E21" s="134">
        <f t="shared" si="0"/>
        <v>0</v>
      </c>
      <c r="F21" s="30" t="e">
        <f t="shared" si="1"/>
        <v>#DIV/0!</v>
      </c>
      <c r="G21" s="128">
        <v>0</v>
      </c>
    </row>
    <row r="22" spans="1:7" s="38" customFormat="1" ht="18.75" hidden="1" customHeight="1">
      <c r="A22" s="26">
        <v>735</v>
      </c>
      <c r="B22" s="27" t="s">
        <v>337</v>
      </c>
      <c r="C22" s="28"/>
      <c r="D22" s="131">
        <v>0</v>
      </c>
      <c r="E22" s="134">
        <f t="shared" si="0"/>
        <v>0</v>
      </c>
      <c r="F22" s="30" t="e">
        <f t="shared" si="1"/>
        <v>#DIV/0!</v>
      </c>
      <c r="G22" s="128">
        <v>0</v>
      </c>
    </row>
    <row r="23" spans="1:7" s="38" customFormat="1" ht="18.75" hidden="1" customHeight="1">
      <c r="A23" s="26">
        <v>739</v>
      </c>
      <c r="B23" s="27" t="s">
        <v>338</v>
      </c>
      <c r="C23" s="28"/>
      <c r="D23" s="131">
        <v>0</v>
      </c>
      <c r="E23" s="134">
        <f t="shared" si="0"/>
        <v>0</v>
      </c>
      <c r="F23" s="30" t="e">
        <f t="shared" si="1"/>
        <v>#DIV/0!</v>
      </c>
      <c r="G23" s="128">
        <v>0</v>
      </c>
    </row>
    <row r="24" spans="1:7" s="37" customFormat="1" ht="21.95" hidden="1" customHeight="1">
      <c r="A24" s="21">
        <v>7400</v>
      </c>
      <c r="B24" s="22" t="s">
        <v>339</v>
      </c>
      <c r="C24" s="23"/>
      <c r="D24" s="130">
        <f>SUM(D25:D33)</f>
        <v>0</v>
      </c>
      <c r="E24" s="130">
        <f t="shared" si="0"/>
        <v>0</v>
      </c>
      <c r="F24" s="25" t="e">
        <f>G24/D24-1</f>
        <v>#DIV/0!</v>
      </c>
      <c r="G24" s="127">
        <f>SUM(G25:G33)</f>
        <v>0</v>
      </c>
    </row>
    <row r="25" spans="1:7" s="38" customFormat="1" ht="18.75" hidden="1" customHeight="1">
      <c r="A25" s="26">
        <v>741</v>
      </c>
      <c r="B25" s="27" t="s">
        <v>340</v>
      </c>
      <c r="C25" s="28"/>
      <c r="D25" s="131">
        <v>0</v>
      </c>
      <c r="E25" s="134">
        <f t="shared" si="0"/>
        <v>0</v>
      </c>
      <c r="F25" s="30" t="e">
        <f t="shared" si="1"/>
        <v>#DIV/0!</v>
      </c>
      <c r="G25" s="128">
        <v>0</v>
      </c>
    </row>
    <row r="26" spans="1:7" s="38" customFormat="1" ht="18.75" hidden="1" customHeight="1">
      <c r="A26" s="26">
        <v>742</v>
      </c>
      <c r="B26" s="27" t="s">
        <v>341</v>
      </c>
      <c r="C26" s="28"/>
      <c r="D26" s="131">
        <v>0</v>
      </c>
      <c r="E26" s="134">
        <f t="shared" si="0"/>
        <v>0</v>
      </c>
      <c r="F26" s="30" t="e">
        <f t="shared" si="1"/>
        <v>#DIV/0!</v>
      </c>
      <c r="G26" s="128">
        <v>0</v>
      </c>
    </row>
    <row r="27" spans="1:7" s="38" customFormat="1" ht="18.75" hidden="1" customHeight="1">
      <c r="A27" s="26">
        <v>743</v>
      </c>
      <c r="B27" s="27" t="s">
        <v>342</v>
      </c>
      <c r="C27" s="28"/>
      <c r="D27" s="131">
        <v>0</v>
      </c>
      <c r="E27" s="134">
        <f t="shared" si="0"/>
        <v>0</v>
      </c>
      <c r="F27" s="30" t="e">
        <f t="shared" si="1"/>
        <v>#DIV/0!</v>
      </c>
      <c r="G27" s="128">
        <v>0</v>
      </c>
    </row>
    <row r="28" spans="1:7" s="38" customFormat="1" ht="18.75" hidden="1" customHeight="1">
      <c r="A28" s="26">
        <v>744</v>
      </c>
      <c r="B28" s="27" t="s">
        <v>343</v>
      </c>
      <c r="C28" s="28"/>
      <c r="D28" s="131">
        <v>0</v>
      </c>
      <c r="E28" s="134">
        <f t="shared" si="0"/>
        <v>0</v>
      </c>
      <c r="F28" s="30" t="e">
        <f t="shared" si="1"/>
        <v>#DIV/0!</v>
      </c>
      <c r="G28" s="128">
        <v>0</v>
      </c>
    </row>
    <row r="29" spans="1:7" s="38" customFormat="1" ht="18.75" hidden="1" customHeight="1">
      <c r="A29" s="26">
        <v>745</v>
      </c>
      <c r="B29" s="27" t="s">
        <v>344</v>
      </c>
      <c r="C29" s="28"/>
      <c r="D29" s="131">
        <v>0</v>
      </c>
      <c r="E29" s="134">
        <f t="shared" ref="E29:E49" si="2">G29-D29</f>
        <v>0</v>
      </c>
      <c r="F29" s="30" t="e">
        <f t="shared" si="1"/>
        <v>#DIV/0!</v>
      </c>
      <c r="G29" s="128">
        <v>0</v>
      </c>
    </row>
    <row r="30" spans="1:7" s="38" customFormat="1" ht="18.75" hidden="1" customHeight="1">
      <c r="A30" s="26">
        <v>746</v>
      </c>
      <c r="B30" s="27" t="s">
        <v>345</v>
      </c>
      <c r="C30" s="28"/>
      <c r="D30" s="131">
        <v>0</v>
      </c>
      <c r="E30" s="134">
        <f t="shared" si="2"/>
        <v>0</v>
      </c>
      <c r="F30" s="30" t="e">
        <f t="shared" si="1"/>
        <v>#DIV/0!</v>
      </c>
      <c r="G30" s="128">
        <v>0</v>
      </c>
    </row>
    <row r="31" spans="1:7" s="38" customFormat="1" ht="18.75" hidden="1" customHeight="1">
      <c r="A31" s="26">
        <v>747</v>
      </c>
      <c r="B31" s="27" t="s">
        <v>346</v>
      </c>
      <c r="C31" s="28"/>
      <c r="D31" s="131">
        <v>0</v>
      </c>
      <c r="E31" s="134">
        <f t="shared" si="2"/>
        <v>0</v>
      </c>
      <c r="F31" s="30" t="e">
        <f t="shared" si="1"/>
        <v>#DIV/0!</v>
      </c>
      <c r="G31" s="128">
        <v>0</v>
      </c>
    </row>
    <row r="32" spans="1:7" s="38" customFormat="1" ht="18.75" hidden="1" customHeight="1">
      <c r="A32" s="26">
        <v>748</v>
      </c>
      <c r="B32" s="27" t="s">
        <v>347</v>
      </c>
      <c r="C32" s="28"/>
      <c r="D32" s="131">
        <v>0</v>
      </c>
      <c r="E32" s="134">
        <f t="shared" si="2"/>
        <v>0</v>
      </c>
      <c r="F32" s="30" t="e">
        <f t="shared" si="1"/>
        <v>#DIV/0!</v>
      </c>
      <c r="G32" s="128">
        <v>0</v>
      </c>
    </row>
    <row r="33" spans="1:7" s="38" customFormat="1" ht="18.75" hidden="1" customHeight="1">
      <c r="A33" s="26">
        <v>749</v>
      </c>
      <c r="B33" s="27" t="s">
        <v>348</v>
      </c>
      <c r="C33" s="28"/>
      <c r="D33" s="131">
        <v>0</v>
      </c>
      <c r="E33" s="134">
        <f t="shared" si="2"/>
        <v>0</v>
      </c>
      <c r="F33" s="30" t="e">
        <f t="shared" si="1"/>
        <v>#DIV/0!</v>
      </c>
      <c r="G33" s="128">
        <v>0</v>
      </c>
    </row>
    <row r="34" spans="1:7" s="37" customFormat="1" ht="21.95" hidden="1" customHeight="1">
      <c r="A34" s="21">
        <v>7500</v>
      </c>
      <c r="B34" s="22" t="s">
        <v>349</v>
      </c>
      <c r="C34" s="23"/>
      <c r="D34" s="130">
        <f>SUM(D35:D43)</f>
        <v>0</v>
      </c>
      <c r="E34" s="130">
        <f t="shared" si="2"/>
        <v>0</v>
      </c>
      <c r="F34" s="25" t="e">
        <f>G34/D34-1</f>
        <v>#DIV/0!</v>
      </c>
      <c r="G34" s="127">
        <f>SUM(G35:G43)</f>
        <v>0</v>
      </c>
    </row>
    <row r="35" spans="1:7" s="38" customFormat="1" ht="18.75" hidden="1" customHeight="1">
      <c r="A35" s="26">
        <v>751</v>
      </c>
      <c r="B35" s="27" t="s">
        <v>350</v>
      </c>
      <c r="C35" s="28"/>
      <c r="D35" s="131">
        <v>0</v>
      </c>
      <c r="E35" s="134">
        <f t="shared" si="2"/>
        <v>0</v>
      </c>
      <c r="F35" s="30" t="e">
        <f t="shared" si="1"/>
        <v>#DIV/0!</v>
      </c>
      <c r="G35" s="128">
        <v>0</v>
      </c>
    </row>
    <row r="36" spans="1:7" s="38" customFormat="1" ht="18.75" hidden="1" customHeight="1">
      <c r="A36" s="26">
        <v>752</v>
      </c>
      <c r="B36" s="27" t="s">
        <v>351</v>
      </c>
      <c r="C36" s="28"/>
      <c r="D36" s="131">
        <v>0</v>
      </c>
      <c r="E36" s="134">
        <f t="shared" si="2"/>
        <v>0</v>
      </c>
      <c r="F36" s="30" t="e">
        <f t="shared" si="1"/>
        <v>#DIV/0!</v>
      </c>
      <c r="G36" s="128">
        <v>0</v>
      </c>
    </row>
    <row r="37" spans="1:7" s="38" customFormat="1" ht="18.75" hidden="1" customHeight="1">
      <c r="A37" s="26">
        <v>753</v>
      </c>
      <c r="B37" s="27" t="s">
        <v>352</v>
      </c>
      <c r="C37" s="28"/>
      <c r="D37" s="131">
        <v>0</v>
      </c>
      <c r="E37" s="134">
        <f t="shared" si="2"/>
        <v>0</v>
      </c>
      <c r="F37" s="30" t="e">
        <f t="shared" si="1"/>
        <v>#DIV/0!</v>
      </c>
      <c r="G37" s="128">
        <v>0</v>
      </c>
    </row>
    <row r="38" spans="1:7" s="38" customFormat="1" ht="18.75" hidden="1" customHeight="1">
      <c r="A38" s="26">
        <v>754</v>
      </c>
      <c r="B38" s="27" t="s">
        <v>353</v>
      </c>
      <c r="C38" s="28"/>
      <c r="D38" s="131">
        <v>0</v>
      </c>
      <c r="E38" s="134">
        <f t="shared" si="2"/>
        <v>0</v>
      </c>
      <c r="F38" s="30" t="e">
        <f t="shared" si="1"/>
        <v>#DIV/0!</v>
      </c>
      <c r="G38" s="128">
        <v>0</v>
      </c>
    </row>
    <row r="39" spans="1:7" s="38" customFormat="1" ht="18.75" hidden="1" customHeight="1">
      <c r="A39" s="26">
        <v>755</v>
      </c>
      <c r="B39" s="27" t="s">
        <v>354</v>
      </c>
      <c r="C39" s="28"/>
      <c r="D39" s="131">
        <v>0</v>
      </c>
      <c r="E39" s="134">
        <f t="shared" si="2"/>
        <v>0</v>
      </c>
      <c r="F39" s="30" t="e">
        <f t="shared" si="1"/>
        <v>#DIV/0!</v>
      </c>
      <c r="G39" s="128">
        <v>0</v>
      </c>
    </row>
    <row r="40" spans="1:7" s="38" customFormat="1" ht="18.75" hidden="1" customHeight="1">
      <c r="A40" s="26">
        <v>756</v>
      </c>
      <c r="B40" s="27" t="s">
        <v>355</v>
      </c>
      <c r="C40" s="28"/>
      <c r="D40" s="131">
        <v>0</v>
      </c>
      <c r="E40" s="134">
        <f t="shared" si="2"/>
        <v>0</v>
      </c>
      <c r="F40" s="30" t="e">
        <f t="shared" si="1"/>
        <v>#DIV/0!</v>
      </c>
      <c r="G40" s="128">
        <v>0</v>
      </c>
    </row>
    <row r="41" spans="1:7" s="38" customFormat="1" ht="18.75" hidden="1" customHeight="1">
      <c r="A41" s="26">
        <v>757</v>
      </c>
      <c r="B41" s="27" t="s">
        <v>356</v>
      </c>
      <c r="C41" s="28"/>
      <c r="D41" s="131">
        <v>0</v>
      </c>
      <c r="E41" s="134">
        <f t="shared" si="2"/>
        <v>0</v>
      </c>
      <c r="F41" s="30" t="e">
        <f t="shared" si="1"/>
        <v>#DIV/0!</v>
      </c>
      <c r="G41" s="128">
        <v>0</v>
      </c>
    </row>
    <row r="42" spans="1:7" s="38" customFormat="1" ht="18.75" hidden="1" customHeight="1">
      <c r="A42" s="26">
        <v>758</v>
      </c>
      <c r="B42" s="27" t="s">
        <v>357</v>
      </c>
      <c r="C42" s="28"/>
      <c r="D42" s="131">
        <v>0</v>
      </c>
      <c r="E42" s="134">
        <f t="shared" si="2"/>
        <v>0</v>
      </c>
      <c r="F42" s="30" t="e">
        <f t="shared" si="1"/>
        <v>#DIV/0!</v>
      </c>
      <c r="G42" s="128">
        <v>0</v>
      </c>
    </row>
    <row r="43" spans="1:7" s="38" customFormat="1" ht="18.75" hidden="1" customHeight="1">
      <c r="A43" s="26">
        <v>759</v>
      </c>
      <c r="B43" s="27" t="s">
        <v>358</v>
      </c>
      <c r="C43" s="28"/>
      <c r="D43" s="131">
        <v>0</v>
      </c>
      <c r="E43" s="134">
        <f t="shared" si="2"/>
        <v>0</v>
      </c>
      <c r="F43" s="30" t="e">
        <f t="shared" si="1"/>
        <v>#DIV/0!</v>
      </c>
      <c r="G43" s="128">
        <v>0</v>
      </c>
    </row>
    <row r="44" spans="1:7" s="37" customFormat="1" ht="21.95" hidden="1" customHeight="1">
      <c r="A44" s="21">
        <v>7600</v>
      </c>
      <c r="B44" s="22" t="s">
        <v>359</v>
      </c>
      <c r="C44" s="23"/>
      <c r="D44" s="130">
        <v>0</v>
      </c>
      <c r="E44" s="130">
        <f t="shared" si="2"/>
        <v>0</v>
      </c>
      <c r="F44" s="25" t="e">
        <f>G44/D44-1</f>
        <v>#DIV/0!</v>
      </c>
      <c r="G44" s="127">
        <f>SUM(G45:G46)</f>
        <v>0</v>
      </c>
    </row>
    <row r="45" spans="1:7" s="38" customFormat="1" ht="18.75" hidden="1" customHeight="1">
      <c r="A45" s="26">
        <v>761</v>
      </c>
      <c r="B45" s="27" t="s">
        <v>360</v>
      </c>
      <c r="C45" s="28"/>
      <c r="D45" s="131">
        <v>0</v>
      </c>
      <c r="E45" s="134">
        <f t="shared" si="2"/>
        <v>0</v>
      </c>
      <c r="F45" s="30" t="e">
        <f t="shared" si="1"/>
        <v>#DIV/0!</v>
      </c>
      <c r="G45" s="128">
        <v>0</v>
      </c>
    </row>
    <row r="46" spans="1:7" s="38" customFormat="1" ht="18.75" hidden="1" customHeight="1">
      <c r="A46" s="26">
        <v>762</v>
      </c>
      <c r="B46" s="27" t="s">
        <v>361</v>
      </c>
      <c r="C46" s="28"/>
      <c r="D46" s="131">
        <v>0</v>
      </c>
      <c r="E46" s="134">
        <f t="shared" si="2"/>
        <v>0</v>
      </c>
      <c r="F46" s="30" t="e">
        <f t="shared" si="1"/>
        <v>#DIV/0!</v>
      </c>
      <c r="G46" s="128">
        <v>0</v>
      </c>
    </row>
    <row r="47" spans="1:7" s="37" customFormat="1" ht="21.95" customHeight="1">
      <c r="A47" s="21">
        <v>7900</v>
      </c>
      <c r="B47" s="22" t="s">
        <v>362</v>
      </c>
      <c r="C47" s="23"/>
      <c r="D47" s="130">
        <f>SUM(D48:D50)</f>
        <v>10000000</v>
      </c>
      <c r="E47" s="130">
        <f t="shared" si="2"/>
        <v>0</v>
      </c>
      <c r="F47" s="25">
        <f t="shared" si="1"/>
        <v>0</v>
      </c>
      <c r="G47" s="127">
        <f>SUM(G48:G50)</f>
        <v>10000000</v>
      </c>
    </row>
    <row r="48" spans="1:7" s="38" customFormat="1" ht="18.75" hidden="1" customHeight="1">
      <c r="A48" s="26">
        <v>791</v>
      </c>
      <c r="B48" s="27" t="s">
        <v>363</v>
      </c>
      <c r="C48" s="28"/>
      <c r="D48" s="131">
        <v>0</v>
      </c>
      <c r="E48" s="134">
        <f t="shared" si="2"/>
        <v>0</v>
      </c>
      <c r="F48" s="30" t="e">
        <f t="shared" si="1"/>
        <v>#DIV/0!</v>
      </c>
      <c r="G48" s="128">
        <v>0</v>
      </c>
    </row>
    <row r="49" spans="1:7" s="38" customFormat="1" ht="18.75" hidden="1" customHeight="1">
      <c r="A49" s="26">
        <v>792</v>
      </c>
      <c r="B49" s="27" t="s">
        <v>364</v>
      </c>
      <c r="C49" s="28"/>
      <c r="D49" s="131">
        <v>0</v>
      </c>
      <c r="E49" s="134">
        <f t="shared" si="2"/>
        <v>0</v>
      </c>
      <c r="F49" s="30" t="e">
        <f t="shared" si="1"/>
        <v>#DIV/0!</v>
      </c>
      <c r="G49" s="128">
        <v>0</v>
      </c>
    </row>
    <row r="50" spans="1:7" s="38" customFormat="1" ht="18.75" customHeight="1">
      <c r="A50" s="26">
        <v>799</v>
      </c>
      <c r="B50" s="27" t="s">
        <v>365</v>
      </c>
      <c r="C50" s="28"/>
      <c r="D50" s="131">
        <v>10000000</v>
      </c>
      <c r="E50" s="134">
        <v>0</v>
      </c>
      <c r="F50" s="30">
        <f t="shared" si="1"/>
        <v>0</v>
      </c>
      <c r="G50" s="128">
        <v>10000000</v>
      </c>
    </row>
  </sheetData>
  <sheetProtection selectLockedCells="1"/>
  <mergeCells count="6">
    <mergeCell ref="G1:G2"/>
    <mergeCell ref="A1:A2"/>
    <mergeCell ref="B1:B2"/>
    <mergeCell ref="C1:C2"/>
    <mergeCell ref="D1:D2"/>
    <mergeCell ref="E1:F1"/>
  </mergeCells>
  <phoneticPr fontId="5" type="noConversion"/>
  <conditionalFormatting sqref="D5 G5">
    <cfRule type="containsBlanks" dxfId="82" priority="8">
      <formula>LEN(TRIM(D5))=0</formula>
    </cfRule>
  </conditionalFormatting>
  <conditionalFormatting sqref="D6 G6">
    <cfRule type="containsBlanks" dxfId="81" priority="7">
      <formula>LEN(TRIM(D6))=0</formula>
    </cfRule>
  </conditionalFormatting>
  <conditionalFormatting sqref="D8:D16 G8:G16">
    <cfRule type="containsBlanks" dxfId="80" priority="6">
      <formula>LEN(TRIM(D8))=0</formula>
    </cfRule>
  </conditionalFormatting>
  <conditionalFormatting sqref="D18:D23 G18:G23">
    <cfRule type="containsBlanks" dxfId="79" priority="5">
      <formula>LEN(TRIM(D18))=0</formula>
    </cfRule>
  </conditionalFormatting>
  <conditionalFormatting sqref="D25:D33 G25:G33">
    <cfRule type="containsBlanks" dxfId="78" priority="4">
      <formula>LEN(TRIM(D25))=0</formula>
    </cfRule>
  </conditionalFormatting>
  <conditionalFormatting sqref="D35:D43 G35:G43">
    <cfRule type="containsBlanks" dxfId="77" priority="3">
      <formula>LEN(TRIM(D35))=0</formula>
    </cfRule>
  </conditionalFormatting>
  <conditionalFormatting sqref="D45:D46 G45:G46">
    <cfRule type="containsBlanks" dxfId="76" priority="2">
      <formula>LEN(TRIM(D45))=0</formula>
    </cfRule>
  </conditionalFormatting>
  <conditionalFormatting sqref="D48:D50 G48:G50">
    <cfRule type="containsBlanks" dxfId="75" priority="1">
      <formula>LEN(TRIM(D48))=0</formula>
    </cfRule>
  </conditionalFormatting>
  <dataValidations count="1">
    <dataValidation type="whole" errorStyle="warning" operator="greaterThan" allowBlank="1" showInputMessage="1" showErrorMessage="1" errorTitle="IMPORTANTE" error="Se recomienda leer las instrucciones antes de inciar con el llenado del presupuesto por objeto del gasto" sqref="B1:E1 G1">
      <formula1>0</formula1>
    </dataValidation>
  </dataValidations>
  <printOptions horizontalCentered="1"/>
  <pageMargins left="0" right="0" top="0.19685039370078741" bottom="0" header="0" footer="0"/>
  <pageSetup scale="75" fitToHeight="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</sheetPr>
  <dimension ref="A1:H36"/>
  <sheetViews>
    <sheetView showGridLines="0" view="pageBreakPreview" zoomScaleSheetLayoutView="100" workbookViewId="0">
      <pane xSplit="1" ySplit="3" topLeftCell="B4" activePane="bottomRight" state="frozen"/>
      <selection activeCell="B73" sqref="B73:B86"/>
      <selection pane="topRight" activeCell="B73" sqref="B73:B86"/>
      <selection pane="bottomLeft" activeCell="B73" sqref="B73:B86"/>
      <selection pane="bottomRight" activeCell="G1" sqref="G1:G2"/>
    </sheetView>
  </sheetViews>
  <sheetFormatPr baseColWidth="10" defaultColWidth="11.42578125" defaultRowHeight="15"/>
  <cols>
    <col min="1" max="1" width="12.28515625" style="2" customWidth="1"/>
    <col min="2" max="2" width="86.7109375" style="6" customWidth="1"/>
    <col min="3" max="3" width="12.85546875" style="7" hidden="1" customWidth="1"/>
    <col min="4" max="4" width="18.7109375" style="15" customWidth="1"/>
    <col min="5" max="5" width="15.7109375" style="17" customWidth="1"/>
    <col min="6" max="6" width="8.140625" style="10" bestFit="1" customWidth="1"/>
    <col min="7" max="7" width="18.7109375" style="13" customWidth="1"/>
    <col min="8" max="8" width="19.7109375" style="219" customWidth="1"/>
    <col min="10" max="10" width="17.140625" bestFit="1" customWidth="1"/>
  </cols>
  <sheetData>
    <row r="1" spans="1:8" s="64" customFormat="1" ht="18.75" customHeight="1" thickBot="1">
      <c r="A1" s="242" t="s">
        <v>0</v>
      </c>
      <c r="B1" s="244" t="s">
        <v>1</v>
      </c>
      <c r="C1" s="254" t="s">
        <v>419</v>
      </c>
      <c r="D1" s="248" t="s">
        <v>429</v>
      </c>
      <c r="E1" s="250" t="s">
        <v>427</v>
      </c>
      <c r="F1" s="251"/>
      <c r="G1" s="248" t="s">
        <v>436</v>
      </c>
      <c r="H1" s="215"/>
    </row>
    <row r="2" spans="1:8" s="64" customFormat="1" ht="33" customHeight="1" thickBot="1">
      <c r="A2" s="243"/>
      <c r="B2" s="245"/>
      <c r="C2" s="255"/>
      <c r="D2" s="249"/>
      <c r="E2" s="65" t="s">
        <v>420</v>
      </c>
      <c r="F2" s="65" t="s">
        <v>421</v>
      </c>
      <c r="G2" s="249"/>
      <c r="H2" s="215"/>
    </row>
    <row r="3" spans="1:8" s="36" customFormat="1" ht="24.95" customHeight="1">
      <c r="A3" s="59">
        <v>9000</v>
      </c>
      <c r="B3" s="60" t="s">
        <v>366</v>
      </c>
      <c r="C3" s="61"/>
      <c r="D3" s="133">
        <f>D4+D13+D25+D34</f>
        <v>303364044.48000002</v>
      </c>
      <c r="E3" s="133">
        <f>G3-D3</f>
        <v>3804762.2999999523</v>
      </c>
      <c r="F3" s="63">
        <f>G3/D3-1</f>
        <v>1.2541902605899491E-2</v>
      </c>
      <c r="G3" s="133">
        <f>G4+G13+G25+G34</f>
        <v>307168806.77999997</v>
      </c>
      <c r="H3" s="216"/>
    </row>
    <row r="4" spans="1:8" s="37" customFormat="1" ht="21.95" customHeight="1">
      <c r="A4" s="21">
        <v>9100</v>
      </c>
      <c r="B4" s="22" t="s">
        <v>367</v>
      </c>
      <c r="C4" s="23"/>
      <c r="D4" s="130">
        <f>D5</f>
        <v>221552382</v>
      </c>
      <c r="E4" s="130">
        <f t="shared" ref="E4:E35" si="0">G4-D4</f>
        <v>1304762.3000000119</v>
      </c>
      <c r="F4" s="25">
        <f t="shared" ref="F4:F12" si="1">G4/D4-1</f>
        <v>5.8891819994064676E-3</v>
      </c>
      <c r="G4" s="130">
        <f>G5</f>
        <v>222857144.30000001</v>
      </c>
      <c r="H4" s="217"/>
    </row>
    <row r="5" spans="1:8" s="38" customFormat="1" ht="18.75" customHeight="1">
      <c r="A5" s="26">
        <v>911</v>
      </c>
      <c r="B5" s="27" t="s">
        <v>368</v>
      </c>
      <c r="C5" s="28"/>
      <c r="D5" s="131">
        <v>221552382</v>
      </c>
      <c r="E5" s="134">
        <f t="shared" si="0"/>
        <v>1304762.3000000119</v>
      </c>
      <c r="F5" s="30">
        <f t="shared" si="1"/>
        <v>5.8891819994064676E-3</v>
      </c>
      <c r="G5" s="131">
        <f>130952381.9+78571429.08+13333333.32+1512826-1512826</f>
        <v>222857144.30000001</v>
      </c>
      <c r="H5" s="220"/>
    </row>
    <row r="6" spans="1:8" s="38" customFormat="1" ht="18.75" hidden="1" customHeight="1">
      <c r="A6" s="26">
        <v>912</v>
      </c>
      <c r="B6" s="27" t="s">
        <v>369</v>
      </c>
      <c r="C6" s="28"/>
      <c r="D6" s="131">
        <v>0</v>
      </c>
      <c r="E6" s="134">
        <f t="shared" si="0"/>
        <v>0</v>
      </c>
      <c r="F6" s="30" t="e">
        <f t="shared" si="1"/>
        <v>#DIV/0!</v>
      </c>
      <c r="G6" s="131">
        <v>0</v>
      </c>
      <c r="H6" s="218"/>
    </row>
    <row r="7" spans="1:8" s="38" customFormat="1" ht="18.75" hidden="1" customHeight="1">
      <c r="A7" s="26">
        <v>913</v>
      </c>
      <c r="B7" s="27" t="s">
        <v>412</v>
      </c>
      <c r="C7" s="28"/>
      <c r="D7" s="131">
        <v>0</v>
      </c>
      <c r="E7" s="134">
        <f t="shared" si="0"/>
        <v>0</v>
      </c>
      <c r="F7" s="30" t="e">
        <f t="shared" si="1"/>
        <v>#DIV/0!</v>
      </c>
      <c r="G7" s="131">
        <v>0</v>
      </c>
      <c r="H7" s="218"/>
    </row>
    <row r="8" spans="1:8" s="38" customFormat="1" ht="18.75" hidden="1" customHeight="1">
      <c r="A8" s="26">
        <v>914</v>
      </c>
      <c r="B8" s="27" t="s">
        <v>370</v>
      </c>
      <c r="C8" s="28"/>
      <c r="D8" s="131">
        <v>0</v>
      </c>
      <c r="E8" s="134">
        <f t="shared" si="0"/>
        <v>0</v>
      </c>
      <c r="F8" s="30" t="e">
        <f t="shared" si="1"/>
        <v>#DIV/0!</v>
      </c>
      <c r="G8" s="131">
        <v>0</v>
      </c>
      <c r="H8" s="218"/>
    </row>
    <row r="9" spans="1:8" s="38" customFormat="1" ht="18.75" hidden="1" customHeight="1">
      <c r="A9" s="26">
        <v>915</v>
      </c>
      <c r="B9" s="27" t="s">
        <v>371</v>
      </c>
      <c r="C9" s="28"/>
      <c r="D9" s="131">
        <v>0</v>
      </c>
      <c r="E9" s="134">
        <f t="shared" si="0"/>
        <v>0</v>
      </c>
      <c r="F9" s="30" t="e">
        <f t="shared" si="1"/>
        <v>#DIV/0!</v>
      </c>
      <c r="G9" s="131">
        <v>0</v>
      </c>
      <c r="H9" s="218"/>
    </row>
    <row r="10" spans="1:8" s="38" customFormat="1" ht="18.75" hidden="1" customHeight="1">
      <c r="A10" s="26">
        <v>916</v>
      </c>
      <c r="B10" s="27" t="s">
        <v>372</v>
      </c>
      <c r="C10" s="28"/>
      <c r="D10" s="131">
        <v>0</v>
      </c>
      <c r="E10" s="134">
        <f t="shared" si="0"/>
        <v>0</v>
      </c>
      <c r="F10" s="30" t="e">
        <f t="shared" si="1"/>
        <v>#DIV/0!</v>
      </c>
      <c r="G10" s="131">
        <v>0</v>
      </c>
      <c r="H10" s="218"/>
    </row>
    <row r="11" spans="1:8" s="38" customFormat="1" ht="18.75" hidden="1" customHeight="1">
      <c r="A11" s="26">
        <v>917</v>
      </c>
      <c r="B11" s="27" t="s">
        <v>373</v>
      </c>
      <c r="C11" s="28"/>
      <c r="D11" s="131">
        <v>0</v>
      </c>
      <c r="E11" s="134">
        <f t="shared" si="0"/>
        <v>0</v>
      </c>
      <c r="F11" s="30" t="e">
        <f t="shared" si="1"/>
        <v>#DIV/0!</v>
      </c>
      <c r="G11" s="131">
        <v>0</v>
      </c>
      <c r="H11" s="218"/>
    </row>
    <row r="12" spans="1:8" s="38" customFormat="1" ht="18.75" hidden="1" customHeight="1">
      <c r="A12" s="26">
        <v>918</v>
      </c>
      <c r="B12" s="27" t="s">
        <v>374</v>
      </c>
      <c r="C12" s="28"/>
      <c r="D12" s="131">
        <v>0</v>
      </c>
      <c r="E12" s="134">
        <f t="shared" si="0"/>
        <v>0</v>
      </c>
      <c r="F12" s="30" t="e">
        <f t="shared" si="1"/>
        <v>#DIV/0!</v>
      </c>
      <c r="G12" s="131">
        <v>0</v>
      </c>
      <c r="H12" s="218"/>
    </row>
    <row r="13" spans="1:8" s="37" customFormat="1" ht="21.95" customHeight="1">
      <c r="A13" s="21">
        <v>9200</v>
      </c>
      <c r="B13" s="22" t="s">
        <v>375</v>
      </c>
      <c r="C13" s="23"/>
      <c r="D13" s="130">
        <f>D14</f>
        <v>69811662.479999989</v>
      </c>
      <c r="E13" s="130">
        <f t="shared" si="0"/>
        <v>0</v>
      </c>
      <c r="F13" s="25">
        <f>G13/D13-1</f>
        <v>0</v>
      </c>
      <c r="G13" s="130">
        <f>G14</f>
        <v>69811662.479999989</v>
      </c>
      <c r="H13" s="217"/>
    </row>
    <row r="14" spans="1:8" s="38" customFormat="1" ht="18.75" customHeight="1">
      <c r="A14" s="26">
        <v>921</v>
      </c>
      <c r="B14" s="27" t="s">
        <v>376</v>
      </c>
      <c r="C14" s="28" t="s">
        <v>377</v>
      </c>
      <c r="D14" s="131">
        <v>69811662.479999989</v>
      </c>
      <c r="E14" s="134">
        <f t="shared" si="0"/>
        <v>0</v>
      </c>
      <c r="F14" s="30">
        <f>G14/D14-1</f>
        <v>0</v>
      </c>
      <c r="G14" s="131">
        <f>D14</f>
        <v>69811662.479999989</v>
      </c>
      <c r="H14" s="220"/>
    </row>
    <row r="15" spans="1:8" s="38" customFormat="1" ht="18.75" hidden="1" customHeight="1">
      <c r="A15" s="26">
        <v>922</v>
      </c>
      <c r="B15" s="27" t="s">
        <v>378</v>
      </c>
      <c r="C15" s="28"/>
      <c r="D15" s="131">
        <v>0</v>
      </c>
      <c r="E15" s="134">
        <f t="shared" si="0"/>
        <v>0</v>
      </c>
      <c r="F15" s="30" t="e">
        <f t="shared" ref="F15:F33" si="2">G15/D15-1</f>
        <v>#DIV/0!</v>
      </c>
      <c r="G15" s="131">
        <v>0</v>
      </c>
      <c r="H15" s="218"/>
    </row>
    <row r="16" spans="1:8" s="38" customFormat="1" ht="18.75" hidden="1" customHeight="1">
      <c r="A16" s="26">
        <v>923</v>
      </c>
      <c r="B16" s="27" t="s">
        <v>379</v>
      </c>
      <c r="C16" s="28"/>
      <c r="D16" s="131">
        <v>0</v>
      </c>
      <c r="E16" s="134">
        <f t="shared" si="0"/>
        <v>0</v>
      </c>
      <c r="F16" s="30" t="e">
        <f t="shared" si="2"/>
        <v>#DIV/0!</v>
      </c>
      <c r="G16" s="131">
        <v>0</v>
      </c>
      <c r="H16" s="218"/>
    </row>
    <row r="17" spans="1:8" s="38" customFormat="1" ht="18.75" hidden="1" customHeight="1">
      <c r="A17" s="26">
        <v>924</v>
      </c>
      <c r="B17" s="27" t="s">
        <v>380</v>
      </c>
      <c r="C17" s="28"/>
      <c r="D17" s="131">
        <v>0</v>
      </c>
      <c r="E17" s="134">
        <f t="shared" si="0"/>
        <v>0</v>
      </c>
      <c r="F17" s="30" t="e">
        <f t="shared" si="2"/>
        <v>#DIV/0!</v>
      </c>
      <c r="G17" s="131">
        <v>0</v>
      </c>
      <c r="H17" s="218"/>
    </row>
    <row r="18" spans="1:8" s="38" customFormat="1" ht="18.75" hidden="1" customHeight="1">
      <c r="A18" s="26">
        <v>925</v>
      </c>
      <c r="B18" s="27" t="s">
        <v>381</v>
      </c>
      <c r="C18" s="28"/>
      <c r="D18" s="131">
        <v>0</v>
      </c>
      <c r="E18" s="134">
        <f t="shared" si="0"/>
        <v>0</v>
      </c>
      <c r="F18" s="30" t="e">
        <f t="shared" si="2"/>
        <v>#DIV/0!</v>
      </c>
      <c r="G18" s="131">
        <v>0</v>
      </c>
      <c r="H18" s="218"/>
    </row>
    <row r="19" spans="1:8" s="38" customFormat="1" ht="18.75" hidden="1" customHeight="1">
      <c r="A19" s="26">
        <v>926</v>
      </c>
      <c r="B19" s="27" t="s">
        <v>382</v>
      </c>
      <c r="C19" s="28"/>
      <c r="D19" s="131">
        <v>0</v>
      </c>
      <c r="E19" s="134">
        <f t="shared" si="0"/>
        <v>0</v>
      </c>
      <c r="F19" s="30" t="e">
        <f t="shared" si="2"/>
        <v>#DIV/0!</v>
      </c>
      <c r="G19" s="131">
        <v>0</v>
      </c>
      <c r="H19" s="218"/>
    </row>
    <row r="20" spans="1:8" s="38" customFormat="1" ht="18.75" hidden="1" customHeight="1">
      <c r="A20" s="26">
        <v>927</v>
      </c>
      <c r="B20" s="27" t="s">
        <v>383</v>
      </c>
      <c r="C20" s="28"/>
      <c r="D20" s="131">
        <v>0</v>
      </c>
      <c r="E20" s="134">
        <f t="shared" si="0"/>
        <v>0</v>
      </c>
      <c r="F20" s="30" t="e">
        <f t="shared" si="2"/>
        <v>#DIV/0!</v>
      </c>
      <c r="G20" s="131">
        <v>0</v>
      </c>
      <c r="H20" s="218"/>
    </row>
    <row r="21" spans="1:8" s="38" customFormat="1" ht="18.75" hidden="1" customHeight="1">
      <c r="A21" s="26">
        <v>928</v>
      </c>
      <c r="B21" s="27" t="s">
        <v>384</v>
      </c>
      <c r="C21" s="28"/>
      <c r="D21" s="131">
        <v>0</v>
      </c>
      <c r="E21" s="134">
        <f t="shared" si="0"/>
        <v>0</v>
      </c>
      <c r="F21" s="30" t="e">
        <f t="shared" si="2"/>
        <v>#DIV/0!</v>
      </c>
      <c r="G21" s="131">
        <v>0</v>
      </c>
      <c r="H21" s="218"/>
    </row>
    <row r="22" spans="1:8" s="37" customFormat="1" ht="21.95" hidden="1" customHeight="1">
      <c r="A22" s="21">
        <v>9300</v>
      </c>
      <c r="B22" s="22" t="s">
        <v>385</v>
      </c>
      <c r="C22" s="23"/>
      <c r="D22" s="130">
        <v>0</v>
      </c>
      <c r="E22" s="130">
        <f t="shared" si="0"/>
        <v>0</v>
      </c>
      <c r="F22" s="25" t="e">
        <f>G22/D22-1</f>
        <v>#DIV/0!</v>
      </c>
      <c r="G22" s="130">
        <v>0</v>
      </c>
      <c r="H22" s="217"/>
    </row>
    <row r="23" spans="1:8" s="38" customFormat="1" ht="18.75" hidden="1" customHeight="1">
      <c r="A23" s="26">
        <v>931</v>
      </c>
      <c r="B23" s="27" t="s">
        <v>386</v>
      </c>
      <c r="C23" s="28"/>
      <c r="D23" s="131">
        <v>0</v>
      </c>
      <c r="E23" s="134">
        <f t="shared" si="0"/>
        <v>0</v>
      </c>
      <c r="F23" s="30" t="e">
        <f t="shared" si="2"/>
        <v>#DIV/0!</v>
      </c>
      <c r="G23" s="131">
        <v>0</v>
      </c>
      <c r="H23" s="218"/>
    </row>
    <row r="24" spans="1:8" s="38" customFormat="1" ht="18.75" hidden="1" customHeight="1">
      <c r="A24" s="26">
        <v>932</v>
      </c>
      <c r="B24" s="27" t="s">
        <v>387</v>
      </c>
      <c r="C24" s="28"/>
      <c r="D24" s="131">
        <v>0</v>
      </c>
      <c r="E24" s="134">
        <f t="shared" si="0"/>
        <v>0</v>
      </c>
      <c r="F24" s="30" t="e">
        <f t="shared" si="2"/>
        <v>#DIV/0!</v>
      </c>
      <c r="G24" s="131">
        <v>0</v>
      </c>
      <c r="H24" s="218"/>
    </row>
    <row r="25" spans="1:8" s="37" customFormat="1" ht="21.95" customHeight="1">
      <c r="A25" s="21">
        <v>9400</v>
      </c>
      <c r="B25" s="22" t="s">
        <v>388</v>
      </c>
      <c r="C25" s="23"/>
      <c r="D25" s="130">
        <f>D26</f>
        <v>2000000</v>
      </c>
      <c r="E25" s="130">
        <f t="shared" si="0"/>
        <v>0</v>
      </c>
      <c r="F25" s="25">
        <f>G25/D25-1</f>
        <v>0</v>
      </c>
      <c r="G25" s="130">
        <f>G26</f>
        <v>2000000</v>
      </c>
      <c r="H25" s="217"/>
    </row>
    <row r="26" spans="1:8" s="38" customFormat="1" ht="18.75" customHeight="1">
      <c r="A26" s="26">
        <v>941</v>
      </c>
      <c r="B26" s="27" t="s">
        <v>389</v>
      </c>
      <c r="C26" s="28"/>
      <c r="D26" s="131">
        <v>2000000</v>
      </c>
      <c r="E26" s="134">
        <f t="shared" si="0"/>
        <v>0</v>
      </c>
      <c r="F26" s="30">
        <f t="shared" si="2"/>
        <v>0</v>
      </c>
      <c r="G26" s="131">
        <v>2000000</v>
      </c>
      <c r="H26" s="218"/>
    </row>
    <row r="27" spans="1:8" s="38" customFormat="1" ht="18.75" hidden="1" customHeight="1">
      <c r="A27" s="26">
        <v>942</v>
      </c>
      <c r="B27" s="27" t="s">
        <v>390</v>
      </c>
      <c r="C27" s="28"/>
      <c r="D27" s="131">
        <v>0</v>
      </c>
      <c r="E27" s="134">
        <f t="shared" si="0"/>
        <v>0</v>
      </c>
      <c r="F27" s="30" t="e">
        <f t="shared" si="2"/>
        <v>#DIV/0!</v>
      </c>
      <c r="G27" s="131">
        <v>0</v>
      </c>
      <c r="H27" s="218"/>
    </row>
    <row r="28" spans="1:8" s="37" customFormat="1" ht="21.95" hidden="1" customHeight="1">
      <c r="A28" s="21">
        <v>9500</v>
      </c>
      <c r="B28" s="22" t="s">
        <v>391</v>
      </c>
      <c r="C28" s="23"/>
      <c r="D28" s="130">
        <v>0</v>
      </c>
      <c r="E28" s="130">
        <f t="shared" si="0"/>
        <v>0</v>
      </c>
      <c r="F28" s="25" t="e">
        <f>G28/D28-1</f>
        <v>#DIV/0!</v>
      </c>
      <c r="G28" s="130">
        <v>0</v>
      </c>
      <c r="H28" s="217"/>
    </row>
    <row r="29" spans="1:8" s="38" customFormat="1" ht="18.75" hidden="1" customHeight="1">
      <c r="A29" s="26">
        <v>951</v>
      </c>
      <c r="B29" s="27" t="s">
        <v>392</v>
      </c>
      <c r="C29" s="28"/>
      <c r="D29" s="131">
        <v>0</v>
      </c>
      <c r="E29" s="134">
        <f t="shared" si="0"/>
        <v>0</v>
      </c>
      <c r="F29" s="30" t="e">
        <f t="shared" si="2"/>
        <v>#DIV/0!</v>
      </c>
      <c r="G29" s="131">
        <v>0</v>
      </c>
      <c r="H29" s="218"/>
    </row>
    <row r="30" spans="1:8" s="38" customFormat="1" ht="18.75" hidden="1" customHeight="1">
      <c r="A30" s="26">
        <v>952</v>
      </c>
      <c r="B30" s="27" t="s">
        <v>393</v>
      </c>
      <c r="C30" s="28"/>
      <c r="D30" s="131">
        <v>0</v>
      </c>
      <c r="E30" s="134">
        <f t="shared" si="0"/>
        <v>0</v>
      </c>
      <c r="F30" s="30" t="e">
        <f t="shared" si="2"/>
        <v>#DIV/0!</v>
      </c>
      <c r="G30" s="131">
        <v>0</v>
      </c>
      <c r="H30" s="218"/>
    </row>
    <row r="31" spans="1:8" s="37" customFormat="1" ht="21.95" hidden="1" customHeight="1">
      <c r="A31" s="21">
        <v>9600</v>
      </c>
      <c r="B31" s="22" t="s">
        <v>394</v>
      </c>
      <c r="C31" s="23"/>
      <c r="D31" s="130">
        <v>0</v>
      </c>
      <c r="E31" s="130">
        <f t="shared" si="0"/>
        <v>0</v>
      </c>
      <c r="F31" s="25" t="e">
        <f>G31/D31-1</f>
        <v>#DIV/0!</v>
      </c>
      <c r="G31" s="130">
        <v>0</v>
      </c>
      <c r="H31" s="217"/>
    </row>
    <row r="32" spans="1:8" s="38" customFormat="1" ht="18.75" hidden="1" customHeight="1">
      <c r="A32" s="26">
        <v>961</v>
      </c>
      <c r="B32" s="27" t="s">
        <v>395</v>
      </c>
      <c r="C32" s="28"/>
      <c r="D32" s="131">
        <v>0</v>
      </c>
      <c r="E32" s="134">
        <f t="shared" si="0"/>
        <v>0</v>
      </c>
      <c r="F32" s="30" t="e">
        <f t="shared" si="2"/>
        <v>#DIV/0!</v>
      </c>
      <c r="G32" s="131">
        <v>0</v>
      </c>
      <c r="H32" s="218"/>
    </row>
    <row r="33" spans="1:8" s="38" customFormat="1" ht="18.75" hidden="1" customHeight="1">
      <c r="A33" s="26">
        <v>962</v>
      </c>
      <c r="B33" s="27" t="s">
        <v>396</v>
      </c>
      <c r="C33" s="28"/>
      <c r="D33" s="131">
        <v>0</v>
      </c>
      <c r="E33" s="134">
        <f t="shared" si="0"/>
        <v>0</v>
      </c>
      <c r="F33" s="30" t="e">
        <f t="shared" si="2"/>
        <v>#DIV/0!</v>
      </c>
      <c r="G33" s="131">
        <v>0</v>
      </c>
      <c r="H33" s="218"/>
    </row>
    <row r="34" spans="1:8" s="37" customFormat="1" ht="21.95" customHeight="1">
      <c r="A34" s="21">
        <v>9900</v>
      </c>
      <c r="B34" s="22" t="s">
        <v>397</v>
      </c>
      <c r="C34" s="23"/>
      <c r="D34" s="130">
        <f>D35</f>
        <v>10000000</v>
      </c>
      <c r="E34" s="130">
        <f t="shared" si="0"/>
        <v>2500000</v>
      </c>
      <c r="F34" s="25">
        <f>G34/D34-1</f>
        <v>0.25</v>
      </c>
      <c r="G34" s="130">
        <f>G35</f>
        <v>12500000</v>
      </c>
      <c r="H34" s="217"/>
    </row>
    <row r="35" spans="1:8" s="38" customFormat="1" ht="18.75" customHeight="1">
      <c r="A35" s="26">
        <v>991</v>
      </c>
      <c r="B35" s="27" t="s">
        <v>398</v>
      </c>
      <c r="C35" s="28"/>
      <c r="D35" s="131">
        <v>10000000</v>
      </c>
      <c r="E35" s="134">
        <f t="shared" si="0"/>
        <v>2500000</v>
      </c>
      <c r="F35" s="30">
        <f>G35/D35-1</f>
        <v>0.25</v>
      </c>
      <c r="G35" s="131">
        <f>10000000+2500000</f>
        <v>12500000</v>
      </c>
      <c r="H35" s="218"/>
    </row>
    <row r="36" spans="1:8">
      <c r="A36" s="3"/>
      <c r="B36" s="4"/>
      <c r="C36" s="5"/>
      <c r="D36" s="14"/>
      <c r="E36" s="16"/>
      <c r="F36" s="9"/>
      <c r="G36" s="12"/>
    </row>
  </sheetData>
  <sheetProtection selectLockedCells="1" selectUnlockedCells="1"/>
  <mergeCells count="6">
    <mergeCell ref="G1:G2"/>
    <mergeCell ref="A1:A2"/>
    <mergeCell ref="B1:B2"/>
    <mergeCell ref="C1:C2"/>
    <mergeCell ref="D1:D2"/>
    <mergeCell ref="E1:F1"/>
  </mergeCells>
  <phoneticPr fontId="5" type="noConversion"/>
  <conditionalFormatting sqref="G5:G12 D5:D12">
    <cfRule type="containsBlanks" dxfId="74" priority="74">
      <formula>LEN(TRIM(D5))=0</formula>
    </cfRule>
  </conditionalFormatting>
  <conditionalFormatting sqref="G6:G12 D6:D12">
    <cfRule type="containsBlanks" dxfId="73" priority="73">
      <formula>LEN(TRIM(D6))=0</formula>
    </cfRule>
  </conditionalFormatting>
  <conditionalFormatting sqref="G14:G21 D14:D21">
    <cfRule type="containsBlanks" dxfId="72" priority="72">
      <formula>LEN(TRIM(D14))=0</formula>
    </cfRule>
  </conditionalFormatting>
  <conditionalFormatting sqref="G23:G24 D23:D24">
    <cfRule type="containsBlanks" dxfId="71" priority="71">
      <formula>LEN(TRIM(D23))=0</formula>
    </cfRule>
  </conditionalFormatting>
  <conditionalFormatting sqref="G26:G27 D26:D27">
    <cfRule type="containsBlanks" dxfId="70" priority="70">
      <formula>LEN(TRIM(D26))=0</formula>
    </cfRule>
  </conditionalFormatting>
  <conditionalFormatting sqref="G29:G30 D29:D30">
    <cfRule type="containsBlanks" dxfId="69" priority="69">
      <formula>LEN(TRIM(D29))=0</formula>
    </cfRule>
  </conditionalFormatting>
  <conditionalFormatting sqref="G32:G33 D32:D33">
    <cfRule type="containsBlanks" dxfId="68" priority="68">
      <formula>LEN(TRIM(D32))=0</formula>
    </cfRule>
  </conditionalFormatting>
  <conditionalFormatting sqref="G35 D35">
    <cfRule type="containsBlanks" dxfId="67" priority="67">
      <formula>LEN(TRIM(D35))=0</formula>
    </cfRule>
  </conditionalFormatting>
  <conditionalFormatting sqref="G14:G21">
    <cfRule type="containsBlanks" dxfId="66" priority="66">
      <formula>LEN(TRIM(G14))=0</formula>
    </cfRule>
  </conditionalFormatting>
  <conditionalFormatting sqref="G14:G21">
    <cfRule type="containsBlanks" dxfId="65" priority="65">
      <formula>LEN(TRIM(G14))=0</formula>
    </cfRule>
  </conditionalFormatting>
  <conditionalFormatting sqref="G23:G24">
    <cfRule type="containsBlanks" dxfId="64" priority="64">
      <formula>LEN(TRIM(G23))=0</formula>
    </cfRule>
  </conditionalFormatting>
  <conditionalFormatting sqref="G23:G24">
    <cfRule type="containsBlanks" dxfId="63" priority="63">
      <formula>LEN(TRIM(G23))=0</formula>
    </cfRule>
  </conditionalFormatting>
  <conditionalFormatting sqref="G23:G24">
    <cfRule type="containsBlanks" dxfId="62" priority="62">
      <formula>LEN(TRIM(G23))=0</formula>
    </cfRule>
  </conditionalFormatting>
  <conditionalFormatting sqref="G26:G27">
    <cfRule type="containsBlanks" dxfId="61" priority="61">
      <formula>LEN(TRIM(G26))=0</formula>
    </cfRule>
  </conditionalFormatting>
  <conditionalFormatting sqref="G26:G27">
    <cfRule type="containsBlanks" dxfId="60" priority="60">
      <formula>LEN(TRIM(G26))=0</formula>
    </cfRule>
  </conditionalFormatting>
  <conditionalFormatting sqref="G26:G27">
    <cfRule type="containsBlanks" dxfId="59" priority="59">
      <formula>LEN(TRIM(G26))=0</formula>
    </cfRule>
  </conditionalFormatting>
  <conditionalFormatting sqref="G26:G27">
    <cfRule type="containsBlanks" dxfId="58" priority="58">
      <formula>LEN(TRIM(G26))=0</formula>
    </cfRule>
  </conditionalFormatting>
  <conditionalFormatting sqref="G29:G30">
    <cfRule type="containsBlanks" dxfId="57" priority="57">
      <formula>LEN(TRIM(G29))=0</formula>
    </cfRule>
  </conditionalFormatting>
  <conditionalFormatting sqref="G29:G30">
    <cfRule type="containsBlanks" dxfId="56" priority="56">
      <formula>LEN(TRIM(G29))=0</formula>
    </cfRule>
  </conditionalFormatting>
  <conditionalFormatting sqref="G29:G30">
    <cfRule type="containsBlanks" dxfId="55" priority="55">
      <formula>LEN(TRIM(G29))=0</formula>
    </cfRule>
  </conditionalFormatting>
  <conditionalFormatting sqref="G29:G30">
    <cfRule type="containsBlanks" dxfId="54" priority="54">
      <formula>LEN(TRIM(G29))=0</formula>
    </cfRule>
  </conditionalFormatting>
  <conditionalFormatting sqref="G29:G30">
    <cfRule type="containsBlanks" dxfId="53" priority="53">
      <formula>LEN(TRIM(G29))=0</formula>
    </cfRule>
  </conditionalFormatting>
  <conditionalFormatting sqref="G32:G33">
    <cfRule type="containsBlanks" dxfId="52" priority="52">
      <formula>LEN(TRIM(G32))=0</formula>
    </cfRule>
  </conditionalFormatting>
  <conditionalFormatting sqref="G32:G33">
    <cfRule type="containsBlanks" dxfId="51" priority="51">
      <formula>LEN(TRIM(G32))=0</formula>
    </cfRule>
  </conditionalFormatting>
  <conditionalFormatting sqref="G32:G33">
    <cfRule type="containsBlanks" dxfId="50" priority="50">
      <formula>LEN(TRIM(G32))=0</formula>
    </cfRule>
  </conditionalFormatting>
  <conditionalFormatting sqref="G32:G33">
    <cfRule type="containsBlanks" dxfId="49" priority="49">
      <formula>LEN(TRIM(G32))=0</formula>
    </cfRule>
  </conditionalFormatting>
  <conditionalFormatting sqref="G32:G33">
    <cfRule type="containsBlanks" dxfId="48" priority="48">
      <formula>LEN(TRIM(G32))=0</formula>
    </cfRule>
  </conditionalFormatting>
  <conditionalFormatting sqref="G32:G33">
    <cfRule type="containsBlanks" dxfId="47" priority="47">
      <formula>LEN(TRIM(G32))=0</formula>
    </cfRule>
  </conditionalFormatting>
  <conditionalFormatting sqref="G35">
    <cfRule type="containsBlanks" dxfId="46" priority="46">
      <formula>LEN(TRIM(G35))=0</formula>
    </cfRule>
  </conditionalFormatting>
  <conditionalFormatting sqref="G35">
    <cfRule type="containsBlanks" dxfId="45" priority="45">
      <formula>LEN(TRIM(G35))=0</formula>
    </cfRule>
  </conditionalFormatting>
  <conditionalFormatting sqref="G35">
    <cfRule type="containsBlanks" dxfId="44" priority="44">
      <formula>LEN(TRIM(G35))=0</formula>
    </cfRule>
  </conditionalFormatting>
  <conditionalFormatting sqref="G35">
    <cfRule type="containsBlanks" dxfId="43" priority="43">
      <formula>LEN(TRIM(G35))=0</formula>
    </cfRule>
  </conditionalFormatting>
  <conditionalFormatting sqref="G35">
    <cfRule type="containsBlanks" dxfId="42" priority="42">
      <formula>LEN(TRIM(G35))=0</formula>
    </cfRule>
  </conditionalFormatting>
  <conditionalFormatting sqref="G35">
    <cfRule type="containsBlanks" dxfId="41" priority="41">
      <formula>LEN(TRIM(G35))=0</formula>
    </cfRule>
  </conditionalFormatting>
  <conditionalFormatting sqref="G35">
    <cfRule type="containsBlanks" dxfId="40" priority="40">
      <formula>LEN(TRIM(G35))=0</formula>
    </cfRule>
  </conditionalFormatting>
  <conditionalFormatting sqref="G5">
    <cfRule type="containsBlanks" dxfId="39" priority="39">
      <formula>LEN(TRIM(G5))=0</formula>
    </cfRule>
  </conditionalFormatting>
  <conditionalFormatting sqref="G35">
    <cfRule type="containsBlanks" dxfId="38" priority="38">
      <formula>LEN(TRIM(G35))=0</formula>
    </cfRule>
  </conditionalFormatting>
  <conditionalFormatting sqref="G35">
    <cfRule type="containsBlanks" dxfId="37" priority="37">
      <formula>LEN(TRIM(G35))=0</formula>
    </cfRule>
  </conditionalFormatting>
  <conditionalFormatting sqref="G35">
    <cfRule type="containsBlanks" dxfId="36" priority="36">
      <formula>LEN(TRIM(G35))=0</formula>
    </cfRule>
  </conditionalFormatting>
  <conditionalFormatting sqref="G35">
    <cfRule type="containsBlanks" dxfId="35" priority="35">
      <formula>LEN(TRIM(G35))=0</formula>
    </cfRule>
  </conditionalFormatting>
  <conditionalFormatting sqref="G35">
    <cfRule type="containsBlanks" dxfId="34" priority="34">
      <formula>LEN(TRIM(G35))=0</formula>
    </cfRule>
  </conditionalFormatting>
  <conditionalFormatting sqref="D14:D21">
    <cfRule type="containsBlanks" dxfId="33" priority="33">
      <formula>LEN(TRIM(D14))=0</formula>
    </cfRule>
  </conditionalFormatting>
  <conditionalFormatting sqref="D14:D21">
    <cfRule type="containsBlanks" dxfId="32" priority="32">
      <formula>LEN(TRIM(D14))=0</formula>
    </cfRule>
  </conditionalFormatting>
  <conditionalFormatting sqref="D23:D24">
    <cfRule type="containsBlanks" dxfId="31" priority="31">
      <formula>LEN(TRIM(D23))=0</formula>
    </cfRule>
  </conditionalFormatting>
  <conditionalFormatting sqref="D23:D24">
    <cfRule type="containsBlanks" dxfId="30" priority="30">
      <formula>LEN(TRIM(D23))=0</formula>
    </cfRule>
  </conditionalFormatting>
  <conditionalFormatting sqref="D23:D24">
    <cfRule type="containsBlanks" dxfId="29" priority="29">
      <formula>LEN(TRIM(D23))=0</formula>
    </cfRule>
  </conditionalFormatting>
  <conditionalFormatting sqref="D26:D27">
    <cfRule type="containsBlanks" dxfId="28" priority="28">
      <formula>LEN(TRIM(D26))=0</formula>
    </cfRule>
  </conditionalFormatting>
  <conditionalFormatting sqref="D26:D27">
    <cfRule type="containsBlanks" dxfId="27" priority="27">
      <formula>LEN(TRIM(D26))=0</formula>
    </cfRule>
  </conditionalFormatting>
  <conditionalFormatting sqref="D26:D27">
    <cfRule type="containsBlanks" dxfId="26" priority="26">
      <formula>LEN(TRIM(D26))=0</formula>
    </cfRule>
  </conditionalFormatting>
  <conditionalFormatting sqref="D26:D27">
    <cfRule type="containsBlanks" dxfId="25" priority="25">
      <formula>LEN(TRIM(D26))=0</formula>
    </cfRule>
  </conditionalFormatting>
  <conditionalFormatting sqref="D29:D30">
    <cfRule type="containsBlanks" dxfId="24" priority="24">
      <formula>LEN(TRIM(D29))=0</formula>
    </cfRule>
  </conditionalFormatting>
  <conditionalFormatting sqref="D29:D30">
    <cfRule type="containsBlanks" dxfId="23" priority="23">
      <formula>LEN(TRIM(D29))=0</formula>
    </cfRule>
  </conditionalFormatting>
  <conditionalFormatting sqref="D29:D30">
    <cfRule type="containsBlanks" dxfId="22" priority="22">
      <formula>LEN(TRIM(D29))=0</formula>
    </cfRule>
  </conditionalFormatting>
  <conditionalFormatting sqref="D29:D30">
    <cfRule type="containsBlanks" dxfId="21" priority="21">
      <formula>LEN(TRIM(D29))=0</formula>
    </cfRule>
  </conditionalFormatting>
  <conditionalFormatting sqref="D29:D30">
    <cfRule type="containsBlanks" dxfId="20" priority="20">
      <formula>LEN(TRIM(D29))=0</formula>
    </cfRule>
  </conditionalFormatting>
  <conditionalFormatting sqref="D32:D33">
    <cfRule type="containsBlanks" dxfId="19" priority="19">
      <formula>LEN(TRIM(D32))=0</formula>
    </cfRule>
  </conditionalFormatting>
  <conditionalFormatting sqref="D32:D33">
    <cfRule type="containsBlanks" dxfId="18" priority="18">
      <formula>LEN(TRIM(D32))=0</formula>
    </cfRule>
  </conditionalFormatting>
  <conditionalFormatting sqref="D32:D33">
    <cfRule type="containsBlanks" dxfId="17" priority="17">
      <formula>LEN(TRIM(D32))=0</formula>
    </cfRule>
  </conditionalFormatting>
  <conditionalFormatting sqref="D32:D33">
    <cfRule type="containsBlanks" dxfId="16" priority="16">
      <formula>LEN(TRIM(D32))=0</formula>
    </cfRule>
  </conditionalFormatting>
  <conditionalFormatting sqref="D32:D33">
    <cfRule type="containsBlanks" dxfId="15" priority="15">
      <formula>LEN(TRIM(D32))=0</formula>
    </cfRule>
  </conditionalFormatting>
  <conditionalFormatting sqref="D32:D33">
    <cfRule type="containsBlanks" dxfId="14" priority="14">
      <formula>LEN(TRIM(D32))=0</formula>
    </cfRule>
  </conditionalFormatting>
  <conditionalFormatting sqref="D35">
    <cfRule type="containsBlanks" dxfId="13" priority="13">
      <formula>LEN(TRIM(D35))=0</formula>
    </cfRule>
  </conditionalFormatting>
  <conditionalFormatting sqref="D35">
    <cfRule type="containsBlanks" dxfId="12" priority="12">
      <formula>LEN(TRIM(D35))=0</formula>
    </cfRule>
  </conditionalFormatting>
  <conditionalFormatting sqref="D35">
    <cfRule type="containsBlanks" dxfId="11" priority="11">
      <formula>LEN(TRIM(D35))=0</formula>
    </cfRule>
  </conditionalFormatting>
  <conditionalFormatting sqref="D35">
    <cfRule type="containsBlanks" dxfId="10" priority="10">
      <formula>LEN(TRIM(D35))=0</formula>
    </cfRule>
  </conditionalFormatting>
  <conditionalFormatting sqref="D35">
    <cfRule type="containsBlanks" dxfId="9" priority="9">
      <formula>LEN(TRIM(D35))=0</formula>
    </cfRule>
  </conditionalFormatting>
  <conditionalFormatting sqref="D35">
    <cfRule type="containsBlanks" dxfId="8" priority="8">
      <formula>LEN(TRIM(D35))=0</formula>
    </cfRule>
  </conditionalFormatting>
  <conditionalFormatting sqref="D35">
    <cfRule type="containsBlanks" dxfId="7" priority="7">
      <formula>LEN(TRIM(D35))=0</formula>
    </cfRule>
  </conditionalFormatting>
  <conditionalFormatting sqref="D5">
    <cfRule type="containsBlanks" dxfId="6" priority="6">
      <formula>LEN(TRIM(D5))=0</formula>
    </cfRule>
  </conditionalFormatting>
  <conditionalFormatting sqref="D35">
    <cfRule type="containsBlanks" dxfId="5" priority="5">
      <formula>LEN(TRIM(D35))=0</formula>
    </cfRule>
  </conditionalFormatting>
  <conditionalFormatting sqref="D35">
    <cfRule type="containsBlanks" dxfId="4" priority="4">
      <formula>LEN(TRIM(D35))=0</formula>
    </cfRule>
  </conditionalFormatting>
  <conditionalFormatting sqref="D35">
    <cfRule type="containsBlanks" dxfId="3" priority="3">
      <formula>LEN(TRIM(D35))=0</formula>
    </cfRule>
  </conditionalFormatting>
  <conditionalFormatting sqref="D35">
    <cfRule type="containsBlanks" dxfId="2" priority="2">
      <formula>LEN(TRIM(D35))=0</formula>
    </cfRule>
  </conditionalFormatting>
  <conditionalFormatting sqref="D35">
    <cfRule type="containsBlanks" dxfId="1" priority="1">
      <formula>LEN(TRIM(D35))=0</formula>
    </cfRule>
  </conditionalFormatting>
  <dataValidations count="1">
    <dataValidation type="whole" errorStyle="warning" operator="greaterThan" allowBlank="1" showInputMessage="1" showErrorMessage="1" errorTitle="IMPORTANTE" error="Se recomienda leer las instrucciones antes de inciar con el llenado del presupuesto por objeto del gasto" sqref="B1:E1 G1">
      <formula1>0</formula1>
    </dataValidation>
  </dataValidations>
  <printOptions horizontalCentered="1"/>
  <pageMargins left="0" right="0" top="0.19685039370078741" bottom="0" header="0" footer="0"/>
  <pageSetup scale="7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14</vt:i4>
      </vt:variant>
    </vt:vector>
  </HeadingPairs>
  <TitlesOfParts>
    <vt:vector size="26" baseType="lpstr">
      <vt:lpstr>Resumen Presupuestal</vt:lpstr>
      <vt:lpstr>Capitulo 1000</vt:lpstr>
      <vt:lpstr>Capitulo 2000</vt:lpstr>
      <vt:lpstr>Capitulo 3000</vt:lpstr>
      <vt:lpstr>Capitulo 4000</vt:lpstr>
      <vt:lpstr>Capitulo 5000</vt:lpstr>
      <vt:lpstr>Capitulo 6000</vt:lpstr>
      <vt:lpstr>Capitulo 7000</vt:lpstr>
      <vt:lpstr>Capitulo 9000</vt:lpstr>
      <vt:lpstr>E-Fondo de Forta </vt:lpstr>
      <vt:lpstr>Infra</vt:lpstr>
      <vt:lpstr>Subsemun</vt:lpstr>
      <vt:lpstr>'Capitulo 1000'!Área_de_impresión</vt:lpstr>
      <vt:lpstr>'Capitulo 2000'!Área_de_impresión</vt:lpstr>
      <vt:lpstr>'Capitulo 3000'!Área_de_impresión</vt:lpstr>
      <vt:lpstr>'Capitulo 4000'!Área_de_impresión</vt:lpstr>
      <vt:lpstr>'Capitulo 5000'!Área_de_impresión</vt:lpstr>
      <vt:lpstr>'Capitulo 6000'!Área_de_impresión</vt:lpstr>
      <vt:lpstr>'Capitulo 7000'!Área_de_impresión</vt:lpstr>
      <vt:lpstr>'Capitulo 9000'!Área_de_impresión</vt:lpstr>
      <vt:lpstr>'E-Fondo de Forta '!Área_de_impresión</vt:lpstr>
      <vt:lpstr>Infra!Área_de_impresión</vt:lpstr>
      <vt:lpstr>'Resumen Presupuestal'!Área_de_impresión</vt:lpstr>
      <vt:lpstr>Subsemun!Área_de_impresión</vt:lpstr>
      <vt:lpstr>'Capitulo 2000'!Títulos_a_imprimir</vt:lpstr>
      <vt:lpstr>'Capitulo 3000'!Títulos_a_imprimir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</dc:creator>
  <cp:lastModifiedBy>Sergio Javier Cisneros Bello</cp:lastModifiedBy>
  <cp:lastPrinted>2013-08-16T18:07:06Z</cp:lastPrinted>
  <dcterms:created xsi:type="dcterms:W3CDTF">2011-01-04T17:01:27Z</dcterms:created>
  <dcterms:modified xsi:type="dcterms:W3CDTF">2013-10-29T17:44:21Z</dcterms:modified>
</cp:coreProperties>
</file>